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24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D:\flaviano\cobranca_paraiba\"/>
    </mc:Choice>
  </mc:AlternateContent>
  <xr:revisionPtr revIDLastSave="0" documentId="13_ncr:1_{6845D399-3EB8-46BF-88CB-37B06813E592}" xr6:coauthVersionLast="47" xr6:coauthVersionMax="47" xr10:uidLastSave="{00000000-0000-0000-0000-000000000000}"/>
  <bookViews>
    <workbookView xWindow="-120" yWindow="-120" windowWidth="19440" windowHeight="10320" xr2:uid="{00000000-000D-0000-FFFF-FFFF00000000}"/>
  </bookViews>
  <sheets>
    <sheet name="simulador" sheetId="5" r:id="rId1"/>
    <sheet name="referencias" sheetId="3" r:id="rId2"/>
    <sheet name="enquadramento dos rios" sheetId="6" r:id="rId3"/>
    <sheet name="disponibilidade superficial" sheetId="7" r:id="rId4"/>
  </sheets>
  <definedNames>
    <definedName name="_xlnm.Print_Area" localSheetId="0">simulador!$A$1:$G$29</definedName>
  </definedNames>
  <calcPr calcId="181029"/>
</workbook>
</file>

<file path=xl/calcChain.xml><?xml version="1.0" encoding="utf-8"?>
<calcChain xmlns="http://schemas.openxmlformats.org/spreadsheetml/2006/main">
  <c r="I9" i="5" l="1"/>
  <c r="H7" i="5"/>
  <c r="Q79" i="3"/>
  <c r="O19" i="3"/>
  <c r="O18" i="3"/>
  <c r="K8" i="5"/>
  <c r="K9" i="5"/>
  <c r="K7" i="5"/>
  <c r="P79" i="3" l="1"/>
  <c r="O79" i="3"/>
  <c r="N79" i="3"/>
  <c r="O15" i="3"/>
  <c r="O11" i="3"/>
  <c r="O7" i="3"/>
  <c r="O14" i="3"/>
  <c r="O10" i="3"/>
  <c r="O6" i="3"/>
  <c r="J8" i="5"/>
  <c r="J9" i="5"/>
  <c r="J7" i="5"/>
  <c r="I8" i="5"/>
  <c r="I7" i="5"/>
  <c r="H8" i="5"/>
  <c r="H9" i="5"/>
  <c r="K107" i="3" l="1"/>
  <c r="K111" i="3"/>
  <c r="K64" i="3" l="1"/>
  <c r="C30" i="5"/>
  <c r="C29" i="5"/>
  <c r="K76" i="3"/>
  <c r="K68" i="3"/>
  <c r="K57" i="3"/>
  <c r="K52" i="3"/>
  <c r="K49" i="3"/>
  <c r="K24" i="5" l="1"/>
  <c r="I24" i="5"/>
  <c r="H24" i="5"/>
  <c r="J24" i="5"/>
  <c r="K110" i="3"/>
  <c r="K99" i="3"/>
  <c r="K93" i="3" l="1"/>
  <c r="E25" i="3"/>
  <c r="K88" i="3" l="1"/>
  <c r="K108" i="3" s="1"/>
  <c r="E26" i="3"/>
  <c r="P111" i="3" l="1"/>
  <c r="Q111" i="3"/>
  <c r="O111" i="3"/>
  <c r="N111" i="3"/>
  <c r="K112" i="3"/>
  <c r="G23" i="5" s="1"/>
  <c r="K12" i="3"/>
  <c r="K17" i="3"/>
  <c r="K8" i="3"/>
  <c r="K38" i="3"/>
  <c r="K78" i="3" s="1"/>
  <c r="Q80" i="3" s="1"/>
  <c r="K13" i="5" s="1"/>
  <c r="K30" i="3"/>
  <c r="F9" i="5"/>
  <c r="F8" i="5"/>
  <c r="E79" i="3"/>
  <c r="F7" i="5"/>
  <c r="C33" i="5" s="1"/>
  <c r="E41" i="3"/>
  <c r="Q113" i="3" l="1"/>
  <c r="K23" i="5" s="1"/>
  <c r="K14" i="5"/>
  <c r="O80" i="3"/>
  <c r="I13" i="5" s="1"/>
  <c r="P80" i="3"/>
  <c r="J13" i="5" s="1"/>
  <c r="N80" i="3"/>
  <c r="H13" i="5" s="1"/>
  <c r="H14" i="5"/>
  <c r="N113" i="3"/>
  <c r="H23" i="5" s="1"/>
  <c r="I14" i="5"/>
  <c r="O113" i="3"/>
  <c r="I23" i="5" s="1"/>
  <c r="J14" i="5"/>
  <c r="P113" i="3"/>
  <c r="J23" i="5" s="1"/>
  <c r="C35" i="5"/>
  <c r="C32" i="5"/>
  <c r="C31" i="5"/>
  <c r="K109" i="3"/>
  <c r="M113" i="3" s="1"/>
  <c r="G24" i="5" l="1"/>
  <c r="F14" i="5"/>
  <c r="K113" i="3"/>
  <c r="I112" i="3" l="1"/>
  <c r="K24" i="3"/>
  <c r="K42" i="3" s="1"/>
  <c r="K80" i="3" l="1"/>
  <c r="K40" i="3"/>
  <c r="K79" i="3" l="1"/>
  <c r="F13" i="5" s="1"/>
  <c r="Q41" i="3"/>
  <c r="K12" i="5" s="1"/>
  <c r="Q43" i="3"/>
  <c r="P43" i="3"/>
  <c r="J21" i="5" s="1"/>
  <c r="M43" i="3"/>
  <c r="P41" i="3"/>
  <c r="J12" i="5" s="1"/>
  <c r="O41" i="3"/>
  <c r="I12" i="5" s="1"/>
  <c r="N41" i="3"/>
  <c r="H12" i="5" s="1"/>
  <c r="O43" i="3"/>
  <c r="K43" i="3"/>
  <c r="N43" i="3"/>
  <c r="K81" i="3"/>
  <c r="G17" i="5"/>
  <c r="K41" i="3"/>
  <c r="F12" i="5" s="1"/>
  <c r="Q83" i="3" l="1"/>
  <c r="Q59" i="3" s="1"/>
  <c r="Q84" i="3"/>
  <c r="K22" i="5" s="1"/>
  <c r="Q82" i="3"/>
  <c r="Q58" i="3" s="1"/>
  <c r="K21" i="5"/>
  <c r="P84" i="3"/>
  <c r="J22" i="5" s="1"/>
  <c r="M84" i="3"/>
  <c r="O84" i="3"/>
  <c r="I22" i="5" s="1"/>
  <c r="N84" i="3"/>
  <c r="H22" i="5" s="1"/>
  <c r="I21" i="5"/>
  <c r="H21" i="5"/>
  <c r="N83" i="3"/>
  <c r="N59" i="3" s="1"/>
  <c r="P83" i="3"/>
  <c r="P59" i="3" s="1"/>
  <c r="O83" i="3"/>
  <c r="M83" i="3"/>
  <c r="G22" i="5" s="1"/>
  <c r="O82" i="3"/>
  <c r="O58" i="3" s="1"/>
  <c r="N82" i="3"/>
  <c r="N58" i="3" s="1"/>
  <c r="M82" i="3"/>
  <c r="M58" i="3" s="1"/>
  <c r="P82" i="3"/>
  <c r="P58" i="3" s="1"/>
  <c r="G21" i="5"/>
  <c r="K82" i="3"/>
  <c r="G18" i="5"/>
  <c r="K25" i="5" l="1"/>
  <c r="J25" i="5"/>
  <c r="M59" i="3"/>
  <c r="O59" i="3"/>
  <c r="H25" i="5"/>
  <c r="I25" i="5"/>
  <c r="G25" i="5"/>
  <c r="G28" i="5" s="1"/>
  <c r="J26" i="5" l="1"/>
  <c r="J28" i="5"/>
  <c r="J27" i="5"/>
  <c r="I26" i="5"/>
  <c r="I28" i="5"/>
  <c r="I27" i="5"/>
  <c r="H26" i="5"/>
  <c r="H28" i="5"/>
  <c r="H27" i="5"/>
  <c r="K26" i="5"/>
  <c r="K28" i="5"/>
  <c r="K27" i="5"/>
  <c r="G27" i="5"/>
  <c r="G26" i="5"/>
</calcChain>
</file>

<file path=xl/sharedStrings.xml><?xml version="1.0" encoding="utf-8"?>
<sst xmlns="http://schemas.openxmlformats.org/spreadsheetml/2006/main" count="612" uniqueCount="327">
  <si>
    <t>X1</t>
  </si>
  <si>
    <t>X2</t>
  </si>
  <si>
    <t>X3</t>
  </si>
  <si>
    <t>X5</t>
  </si>
  <si>
    <t>X6</t>
  </si>
  <si>
    <t>X7</t>
  </si>
  <si>
    <t>X13</t>
  </si>
  <si>
    <t>Y1</t>
  </si>
  <si>
    <t>Y3</t>
  </si>
  <si>
    <t>Y4</t>
  </si>
  <si>
    <t>CP</t>
  </si>
  <si>
    <t>CÓD. REGEA</t>
  </si>
  <si>
    <t>Sistema público</t>
  </si>
  <si>
    <t>CAP_X1SUP</t>
  </si>
  <si>
    <t>CAP_X2SUB</t>
  </si>
  <si>
    <t>CAP_X2CL1</t>
  </si>
  <si>
    <t>CAP_X2CL2</t>
  </si>
  <si>
    <t>CAP_X2CL3</t>
  </si>
  <si>
    <t>CAP_X2CL4</t>
  </si>
  <si>
    <t>CAP_X3DHMA</t>
  </si>
  <si>
    <t>CAP_X3DHAL</t>
  </si>
  <si>
    <t>CAP_X3DHMED</t>
  </si>
  <si>
    <t>CAP_X3DHCRIT</t>
  </si>
  <si>
    <t>CAP_X3DHMCRIT</t>
  </si>
  <si>
    <t>CAP_X6CONSEF</t>
  </si>
  <si>
    <t>CAP_X7FINSP</t>
  </si>
  <si>
    <t>CAP_X7FINSOL</t>
  </si>
  <si>
    <t>CAP_X7FININD</t>
  </si>
  <si>
    <t>CAP_X13TREX</t>
  </si>
  <si>
    <t>CAP_X13TRNEX</t>
  </si>
  <si>
    <t>CONS_X1SUP</t>
  </si>
  <si>
    <t>CONS_X2SUB</t>
  </si>
  <si>
    <t>CONS_X2CL1</t>
  </si>
  <si>
    <t>CONS_X2CL2</t>
  </si>
  <si>
    <t>CONS_X2CL3</t>
  </si>
  <si>
    <t>CONS_X2CL4</t>
  </si>
  <si>
    <t>CONS_X3DHMA</t>
  </si>
  <si>
    <t>CONS_X3DHAL</t>
  </si>
  <si>
    <t>CONS_X3DHMED</t>
  </si>
  <si>
    <t>CONS_X3DHCRIT</t>
  </si>
  <si>
    <t>CONS_X3DHMCRIT</t>
  </si>
  <si>
    <t>CONS_X6CONSEF</t>
  </si>
  <si>
    <t>CONS_X7FINSP</t>
  </si>
  <si>
    <t>CONS_X7FINSOL</t>
  </si>
  <si>
    <t>CONS_X7FININD</t>
  </si>
  <si>
    <t>CONS_X13TREX</t>
  </si>
  <si>
    <t>CONS_X13TRNEX</t>
  </si>
  <si>
    <t>CAP_X5VOLSMED</t>
  </si>
  <si>
    <t>CAP_X5VOLCMED</t>
  </si>
  <si>
    <t>CONS_X5VOLSMED</t>
  </si>
  <si>
    <t>CONS_X5VOLCMED</t>
  </si>
  <si>
    <t>Solução alternativa</t>
  </si>
  <si>
    <t>Indústria</t>
  </si>
  <si>
    <t>&gt;95% de remoção</t>
  </si>
  <si>
    <t xml:space="preserve"> = 80% de remoção</t>
  </si>
  <si>
    <t>LAN_Y1CL2</t>
  </si>
  <si>
    <t>LAN_Y1CL3</t>
  </si>
  <si>
    <t>LAN_Y1CL4</t>
  </si>
  <si>
    <t>LAN_Y3CARG+95</t>
  </si>
  <si>
    <t>LAN_Y3CARG-95</t>
  </si>
  <si>
    <t>LAN_Y3CARG=80</t>
  </si>
  <si>
    <t>LAN_Y4FINSP</t>
  </si>
  <si>
    <t>LAN_Y4FINSOL</t>
  </si>
  <si>
    <t>LAN_Y4FININD</t>
  </si>
  <si>
    <t>UFESP 2022 R$ 31,97</t>
  </si>
  <si>
    <t>X4</t>
  </si>
  <si>
    <t>X8</t>
  </si>
  <si>
    <t>X9</t>
  </si>
  <si>
    <t>X10</t>
  </si>
  <si>
    <t>X11</t>
  </si>
  <si>
    <t>X12</t>
  </si>
  <si>
    <t>a critério do CBH</t>
  </si>
  <si>
    <t>Del. 180</t>
  </si>
  <si>
    <t>novo crit.</t>
  </si>
  <si>
    <t>fixado CRH</t>
  </si>
  <si>
    <t>a definir</t>
  </si>
  <si>
    <t>Y5</t>
  </si>
  <si>
    <t>Y6</t>
  </si>
  <si>
    <t>Y7</t>
  </si>
  <si>
    <t>Y8</t>
  </si>
  <si>
    <t>Y9</t>
  </si>
  <si>
    <t>LAN_Y3CARG-90</t>
  </si>
  <si>
    <t>LAN_Y3CARG-85</t>
  </si>
  <si>
    <t>&gt; 85% a &lt;=90% de remoção</t>
  </si>
  <si>
    <t>&gt; 80% a &lt;=85% de remoção</t>
  </si>
  <si>
    <t>Critério Revisão</t>
  </si>
  <si>
    <t>COEFICIENTES PONDERADORES (CP)</t>
  </si>
  <si>
    <t>Limites</t>
  </si>
  <si>
    <t>PR = percentagem de remoção</t>
  </si>
  <si>
    <t xml:space="preserve"> ( 1 ) quando VCAP MED / VCAP OUT &lt; 0,7: </t>
  </si>
  <si>
    <t xml:space="preserve"> ( 2 ) quando Porcentagem de Remoção (PR): </t>
  </si>
  <si>
    <t xml:space="preserve">         quando VCAP MED / VCAP OUT ≥ 0,7: </t>
  </si>
  <si>
    <t xml:space="preserve"> (*) atenção para o volume anual com base no volume medido ou volume outorgado</t>
  </si>
  <si>
    <t xml:space="preserve">        também cuidado com o PUF Máximo limitado a 0,00178 UFESP</t>
  </si>
  <si>
    <t>KOUT = peso atribuído ao volume de captação outorgado, no período;</t>
  </si>
  <si>
    <t>KMED = peso atribuído ao volume de captação medido, no período;</t>
  </si>
  <si>
    <t>A consideração da relação prevista no § 3o do artigo 12 será aplicada conforme segue:</t>
  </si>
  <si>
    <t>VCAP OUT = volume de água captado, em m3, no período, segundo valores da outorga, ou constantes do Ato Declaratório;</t>
  </si>
  <si>
    <r>
      <rPr>
        <b/>
        <sz val="11"/>
        <color theme="1"/>
        <rFont val="Calibri"/>
        <family val="2"/>
        <scheme val="minor"/>
      </rPr>
      <t xml:space="preserve">VCAP = KOUT x VCAP OUT + KMED x VCAP MED </t>
    </r>
    <r>
      <rPr>
        <sz val="11"/>
        <color theme="1"/>
        <rFont val="Calibri"/>
        <family val="2"/>
        <scheme val="minor"/>
      </rPr>
      <t>, onde:</t>
    </r>
  </si>
  <si>
    <t>KOUT + KMED = 1; quando não existir medição dos volumes captados será adotado KOUT = 1 e KMED = 0</t>
  </si>
  <si>
    <t>VCAP MED = Volume de água captado, em m3, no período, segundo medição p/ equips. medidores aceitos pelo órgão outorgante;</t>
  </si>
  <si>
    <t>FC = Fator de Consumo (FC) aplicado sobre o volume captado, derivado ou extraído;</t>
  </si>
  <si>
    <t>VCAP = volume de água captado, derivado ou extraído, em m3, no período;</t>
  </si>
  <si>
    <t>VCAPT = volume de água captado, derivado ou extraído total, em m3, igual ao VCAP acrescidodos demais volumes de água utilizados no empreendimento, no período; e</t>
  </si>
  <si>
    <t>O volume consumido (VCONS) igual à diferença entre o volume captado, deriv. ou Extr. e o volume lançado será calculado:</t>
  </si>
  <si>
    <r>
      <rPr>
        <b/>
        <sz val="11"/>
        <color theme="1"/>
        <rFont val="Calibri"/>
        <family val="2"/>
        <scheme val="minor"/>
      </rPr>
      <t xml:space="preserve">VCONS = FC x VCAP, </t>
    </r>
    <r>
      <rPr>
        <sz val="11"/>
        <color theme="1"/>
        <rFont val="Calibri"/>
        <family val="2"/>
        <scheme val="minor"/>
      </rPr>
      <t>sendo:</t>
    </r>
  </si>
  <si>
    <r>
      <rPr>
        <b/>
        <sz val="11"/>
        <color theme="1"/>
        <rFont val="Calibri"/>
        <family val="2"/>
        <scheme val="minor"/>
      </rPr>
      <t>FC = ((VCAPT - VLANÇT) / VCAPT)</t>
    </r>
    <r>
      <rPr>
        <sz val="11"/>
        <color theme="1"/>
        <rFont val="Calibri"/>
        <family val="2"/>
        <scheme val="minor"/>
      </rPr>
      <t>, onde</t>
    </r>
  </si>
  <si>
    <t>Ver demais observações no anexo do Decreto 50.667/2006 e Delib. CBH-OS 05/2006</t>
  </si>
  <si>
    <t>KOUT = 0,2 e KMED = 0,8 (Art. 6º Delib. CBH-PS)</t>
  </si>
  <si>
    <t>Quando (VACP MED / VCAP OUT) &gt; 1 adotar KOUT = 0 e KMED = 1</t>
  </si>
  <si>
    <r>
      <t xml:space="preserve">VLANÇT = </t>
    </r>
    <r>
      <rPr>
        <sz val="10"/>
        <color theme="1"/>
        <rFont val="Calibri"/>
        <family val="2"/>
        <scheme val="minor"/>
      </rPr>
      <t>volume de água lançado total, em m3, acrescido dos demais volumes de água lançados pelo empreendimento no período.</t>
    </r>
  </si>
  <si>
    <t>Qareia = volume de areia produzido em m³/ano</t>
  </si>
  <si>
    <r>
      <rPr>
        <b/>
        <sz val="11"/>
        <color theme="1"/>
        <rFont val="Calibri"/>
        <family val="2"/>
        <scheme val="minor"/>
      </rPr>
      <t>Qcap = Qarei x R</t>
    </r>
    <r>
      <rPr>
        <sz val="11"/>
        <color theme="1"/>
        <rFont val="Calibri"/>
        <family val="2"/>
        <scheme val="minor"/>
      </rPr>
      <t>, onde:</t>
    </r>
  </si>
  <si>
    <t xml:space="preserve">Qareia = volume de areia produzido em m³/ano </t>
  </si>
  <si>
    <r>
      <rPr>
        <b/>
        <u/>
        <sz val="11"/>
        <color theme="1"/>
        <rFont val="Calibri"/>
        <family val="2"/>
        <scheme val="minor"/>
      </rPr>
      <t>Consumo estimado anual de água</t>
    </r>
    <r>
      <rPr>
        <b/>
        <sz val="11"/>
        <color theme="1"/>
        <rFont val="Calibri"/>
        <family val="2"/>
        <scheme val="minor"/>
      </rPr>
      <t>: Qareia x 5%</t>
    </r>
  </si>
  <si>
    <t>R = 4 [razão de mistura de polpa dragada (vol. Água / vol. Areia),  (R = 80% água / 20% areia)]</t>
  </si>
  <si>
    <r>
      <rPr>
        <b/>
        <sz val="11"/>
        <color theme="1"/>
        <rFont val="Calibri"/>
        <family val="2"/>
        <scheme val="minor"/>
      </rPr>
      <t>Qcons = Qarei x U</t>
    </r>
    <r>
      <rPr>
        <sz val="11"/>
        <color theme="1"/>
        <rFont val="Calibri"/>
        <family val="2"/>
        <scheme val="minor"/>
      </rPr>
      <t>, onde:</t>
    </r>
  </si>
  <si>
    <t>U = teor da umidade da areia produzida, medida no carregamento, definido em 5%</t>
  </si>
  <si>
    <r>
      <t>b) Valor para Consumo anual</t>
    </r>
    <r>
      <rPr>
        <b/>
        <sz val="11"/>
        <color theme="1"/>
        <rFont val="Calibri"/>
        <family val="2"/>
        <scheme val="minor"/>
      </rPr>
      <t>: PUB x Qcons</t>
    </r>
  </si>
  <si>
    <r>
      <rPr>
        <b/>
        <u/>
        <sz val="11"/>
        <color theme="1"/>
        <rFont val="Calibri"/>
        <family val="2"/>
        <scheme val="minor"/>
      </rPr>
      <t xml:space="preserve">d) Consumo outorgado: </t>
    </r>
    <r>
      <rPr>
        <b/>
        <sz val="11"/>
        <color theme="1"/>
        <rFont val="Calibri"/>
        <family val="2"/>
        <scheme val="minor"/>
      </rPr>
      <t xml:space="preserve">PUBconsumo x vazão outorgada (m³/ano) </t>
    </r>
  </si>
  <si>
    <r>
      <rPr>
        <b/>
        <u/>
        <sz val="11"/>
        <color theme="1"/>
        <rFont val="Calibri"/>
        <family val="2"/>
        <scheme val="minor"/>
      </rPr>
      <t>c) Umectação de Vias</t>
    </r>
    <r>
      <rPr>
        <b/>
        <sz val="11"/>
        <color theme="1"/>
        <rFont val="Calibri"/>
        <family val="2"/>
        <scheme val="minor"/>
      </rPr>
      <t>: Vazão outorgada (m³/ano) x 1,1 x 1,1 x PUBcaptação</t>
    </r>
  </si>
  <si>
    <t>livre, &gt; 0</t>
  </si>
  <si>
    <t>CAPTAÇÃO, EXTRAÇÃO E DERIVAÇÃO</t>
  </si>
  <si>
    <t>Há transposição para fora da UGRHI-02?</t>
  </si>
  <si>
    <t>CONSUMO</t>
  </si>
  <si>
    <t>Qual a disponibilidade hídrica do local?</t>
  </si>
  <si>
    <t>Como o volume captado é extraído do corpo d'agua?</t>
  </si>
  <si>
    <t>Qual a finalidade do uso?</t>
  </si>
  <si>
    <t>LANÇAMENTO</t>
  </si>
  <si>
    <t>Qual a classe de uso preponderante no local de lançamento?</t>
  </si>
  <si>
    <t>por m³ de água captada</t>
  </si>
  <si>
    <t>por m³ de água consumida</t>
  </si>
  <si>
    <r>
      <t xml:space="preserve">por kg de carga de DBO </t>
    </r>
    <r>
      <rPr>
        <sz val="8"/>
        <color theme="1"/>
        <rFont val="Calibri"/>
        <family val="2"/>
        <scheme val="minor"/>
      </rPr>
      <t>5,20</t>
    </r>
  </si>
  <si>
    <t>Qual a natureza do corpo d'água?</t>
  </si>
  <si>
    <t>Y2</t>
  </si>
  <si>
    <t/>
  </si>
  <si>
    <r>
      <t>Captação (PUB</t>
    </r>
    <r>
      <rPr>
        <sz val="8"/>
        <color theme="1"/>
        <rFont val="Calibri"/>
        <family val="2"/>
        <scheme val="minor"/>
      </rPr>
      <t>CAP</t>
    </r>
    <r>
      <rPr>
        <sz val="11"/>
        <color theme="1"/>
        <rFont val="Calibri"/>
        <family val="2"/>
        <scheme val="minor"/>
      </rPr>
      <t>)</t>
    </r>
  </si>
  <si>
    <r>
      <t>Consumo (PUB</t>
    </r>
    <r>
      <rPr>
        <sz val="8"/>
        <color theme="1"/>
        <rFont val="Calibri"/>
        <family val="2"/>
        <scheme val="minor"/>
      </rPr>
      <t>CONS</t>
    </r>
    <r>
      <rPr>
        <sz val="11"/>
        <color theme="1"/>
        <rFont val="Calibri"/>
        <family val="2"/>
        <scheme val="minor"/>
      </rPr>
      <t>)</t>
    </r>
  </si>
  <si>
    <r>
      <t>Lançamento (PUB</t>
    </r>
    <r>
      <rPr>
        <sz val="8"/>
        <color theme="1"/>
        <rFont val="Calibri"/>
        <family val="2"/>
        <scheme val="minor"/>
      </rPr>
      <t>DBO</t>
    </r>
    <r>
      <rPr>
        <sz val="11"/>
        <color theme="1"/>
        <rFont val="Calibri"/>
        <family val="2"/>
        <scheme val="minor"/>
      </rPr>
      <t>)</t>
    </r>
  </si>
  <si>
    <r>
      <t>Captação (PUF</t>
    </r>
    <r>
      <rPr>
        <sz val="8"/>
        <color theme="1"/>
        <rFont val="Calibri"/>
        <family val="2"/>
        <scheme val="minor"/>
      </rPr>
      <t>CAP</t>
    </r>
    <r>
      <rPr>
        <sz val="11"/>
        <color theme="1"/>
        <rFont val="Calibri"/>
        <family val="2"/>
        <scheme val="minor"/>
      </rPr>
      <t>)</t>
    </r>
  </si>
  <si>
    <r>
      <t>Consumo (PUF</t>
    </r>
    <r>
      <rPr>
        <sz val="8"/>
        <color theme="1"/>
        <rFont val="Calibri"/>
        <family val="2"/>
        <scheme val="minor"/>
      </rPr>
      <t>CONS</t>
    </r>
    <r>
      <rPr>
        <sz val="11"/>
        <color theme="1"/>
        <rFont val="Calibri"/>
        <family val="2"/>
        <scheme val="minor"/>
      </rPr>
      <t>)</t>
    </r>
  </si>
  <si>
    <r>
      <t>Lançamento (PUF</t>
    </r>
    <r>
      <rPr>
        <sz val="8"/>
        <color theme="1"/>
        <rFont val="Calibri"/>
        <family val="2"/>
        <scheme val="minor"/>
      </rPr>
      <t>DBO</t>
    </r>
    <r>
      <rPr>
        <sz val="11"/>
        <color theme="1"/>
        <rFont val="Calibri"/>
        <family val="2"/>
        <scheme val="minor"/>
      </rPr>
      <t>)</t>
    </r>
  </si>
  <si>
    <t>Conta anual pela captação (R$)</t>
  </si>
  <si>
    <t>Conta anual pelo consumo (R$)</t>
  </si>
  <si>
    <t>Conta anual pelo lançamento (R$)</t>
  </si>
  <si>
    <t>Conta anual TOTAL pelo uso da água (R$)</t>
  </si>
  <si>
    <t>Para maiores detalhes sobre os valores e cálculos utilizados no simulador, consulte a aba referencias</t>
  </si>
  <si>
    <t>MEMÓRIA DE CALCULO DO SIMULADOR DE COBRANÇA PELO USO DA ÁGUA NA BACIA HIDROGRÁFICA DO RIO PARAÍBA DO SUL - UGRHI-02</t>
  </si>
  <si>
    <t>Os parâmetros e as fórmulas utilizadas no Simulador de Cobrança pelo Uso da Água na Bacia Hidrográfica do Rio Paraíba do Sul são baseadas na DELIBERAÇÃO CBH-PS Nº 5/2006 e na DELIBERAÇÃO CRH Nº 180/2015</t>
  </si>
  <si>
    <t>IV - Mineração</t>
  </si>
  <si>
    <t>Limite PUFcons - Preço Unitário Final de consumo até 0,002156 UFESPs por m³ consumido</t>
  </si>
  <si>
    <t>UFESP 22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</si>
  <si>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</si>
  <si>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</si>
  <si>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</si>
  <si>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</si>
  <si>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</si>
  <si>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</si>
  <si>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</si>
  <si>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</si>
  <si>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</si>
  <si>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</si>
  <si>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L</t>
  </si>
  <si>
    <t>M</t>
  </si>
  <si>
    <t>N</t>
  </si>
  <si>
    <t>grau de regulatirzação assegurado por obras hidráulicas</t>
  </si>
  <si>
    <t>Consumo efetivo ou volume consumido</t>
  </si>
  <si>
    <t>finalidade do uso</t>
  </si>
  <si>
    <t>sazonalidade</t>
  </si>
  <si>
    <t>características dos aquíferos</t>
  </si>
  <si>
    <t>características físico-químicas e biológicas da água</t>
  </si>
  <si>
    <t>localização do usuário na bacia</t>
  </si>
  <si>
    <t>práticas de conservação e manejo do solo e da água</t>
  </si>
  <si>
    <t>Transposição de bacia: ato de transferir água de uma Unidade de Gerenciamento de Recursos Hídricos - UGRHI para outras(s), através de meios artificiais.</t>
  </si>
  <si>
    <t>grau de regularIzação assegurado por obras hidráulicas</t>
  </si>
  <si>
    <t>vulnerabilidade dos aquíferos</t>
  </si>
  <si>
    <t>características sísico-químicas e biológicas do corpo receptor no local do lançamento</t>
  </si>
  <si>
    <t>Seleção</t>
  </si>
  <si>
    <t>Valor</t>
  </si>
  <si>
    <t>Superficial</t>
  </si>
  <si>
    <t>Subterrâneo</t>
  </si>
  <si>
    <t>Classe 1</t>
  </si>
  <si>
    <t>Classe 2</t>
  </si>
  <si>
    <t>Classe 3</t>
  </si>
  <si>
    <t>Classe 4</t>
  </si>
  <si>
    <t>Muito alta (menor que 0,25)</t>
  </si>
  <si>
    <t>Alta (maior que 0,25 até 0,40)</t>
  </si>
  <si>
    <t>Média (maior que 0,40 até 0,50)</t>
  </si>
  <si>
    <t>Crítica (maior que 0,50 até 0,80)</t>
  </si>
  <si>
    <t>Muito crítica (maior que 0,8)</t>
  </si>
  <si>
    <t>Sem medição</t>
  </si>
  <si>
    <t>Existente</t>
  </si>
  <si>
    <t>Com medição</t>
  </si>
  <si>
    <t>NOTAS</t>
  </si>
  <si>
    <t>PUB</t>
  </si>
  <si>
    <t>Preço Unitário Básico de Captação - R$ por m³ de água captada</t>
  </si>
  <si>
    <r>
      <t>PUB</t>
    </r>
    <r>
      <rPr>
        <sz val="6"/>
        <color theme="1"/>
        <rFont val="Calibri"/>
        <family val="2"/>
        <scheme val="minor"/>
      </rPr>
      <t>CAP</t>
    </r>
  </si>
  <si>
    <t>Preço Unitário Básico do Consumo - R$ por m³ de água captada</t>
  </si>
  <si>
    <r>
      <t>PUB</t>
    </r>
    <r>
      <rPr>
        <sz val="6"/>
        <color theme="1"/>
        <rFont val="Calibri"/>
        <family val="2"/>
        <scheme val="minor"/>
      </rPr>
      <t>CONS</t>
    </r>
  </si>
  <si>
    <t>O</t>
  </si>
  <si>
    <t>Preço Unitário Básico de Lançamento - R$ por m³ de água captada</t>
  </si>
  <si>
    <t>Preço Unitário Básico de Lançamento Máximo - R$ por m³ de água captada</t>
  </si>
  <si>
    <r>
      <t>PUB</t>
    </r>
    <r>
      <rPr>
        <sz val="6"/>
        <color theme="1"/>
        <rFont val="Calibri"/>
        <family val="2"/>
        <scheme val="minor"/>
      </rPr>
      <t>DBO</t>
    </r>
  </si>
  <si>
    <r>
      <t>PUB</t>
    </r>
    <r>
      <rPr>
        <sz val="6"/>
        <color theme="1"/>
        <rFont val="Calibri"/>
        <family val="2"/>
        <scheme val="minor"/>
      </rPr>
      <t>CONS TRANSP</t>
    </r>
  </si>
  <si>
    <t>Classificação</t>
  </si>
  <si>
    <t>Característica considerada</t>
  </si>
  <si>
    <r>
      <t>INSTRUÇÃO: AJUSTE O VALOR DAS CÉLULAS</t>
    </r>
    <r>
      <rPr>
        <sz val="11"/>
        <color theme="0"/>
        <rFont val="Calibri"/>
        <family val="2"/>
        <scheme val="minor"/>
      </rPr>
      <t xml:space="preserve"> </t>
    </r>
    <r>
      <rPr>
        <b/>
        <u/>
        <sz val="11"/>
        <color theme="0"/>
        <rFont val="Calibri"/>
        <family val="2"/>
        <scheme val="minor"/>
      </rPr>
      <t>EM BRANCO</t>
    </r>
    <r>
      <rPr>
        <b/>
        <sz val="11"/>
        <color theme="0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DE ACORDO COM O USO DA ÁGUA</t>
    </r>
  </si>
  <si>
    <t>PUF MAX</t>
  </si>
  <si>
    <t>Preço Unitário Final de Captação Máximo - R$ por m³ de água captada</t>
  </si>
  <si>
    <t>PUF</t>
  </si>
  <si>
    <t>*Xs</t>
  </si>
  <si>
    <t>Preço Unitário Final do Consumo Máximo - R$ por m³ de água captada</t>
  </si>
  <si>
    <r>
      <t>PUF</t>
    </r>
    <r>
      <rPr>
        <sz val="6"/>
        <color theme="1"/>
        <rFont val="Calibri"/>
        <family val="2"/>
        <scheme val="minor"/>
      </rPr>
      <t>CONS</t>
    </r>
  </si>
  <si>
    <r>
      <t>PUF</t>
    </r>
    <r>
      <rPr>
        <sz val="6"/>
        <color theme="1"/>
        <rFont val="Calibri"/>
        <family val="2"/>
        <scheme val="minor"/>
      </rPr>
      <t>CAP</t>
    </r>
  </si>
  <si>
    <t>*Ys</t>
  </si>
  <si>
    <t>final</t>
  </si>
  <si>
    <t>1 + [0,7 (VCAPOUT) - VCAPMED )] / [0,2 (VCAPOUT) + 0,8 (VCAPMED )]</t>
  </si>
  <si>
    <t>volume captado, extraído ou derivado e seu regime de variação (penaliza quando &lt; 70%)</t>
  </si>
  <si>
    <t>Se a captação for superficial, qual a classe de uso preponderante no local?</t>
  </si>
  <si>
    <t>Prencher</t>
  </si>
  <si>
    <t>Não há Captação</t>
  </si>
  <si>
    <t>Não há Consumo</t>
  </si>
  <si>
    <t>Não há Lançamento</t>
  </si>
  <si>
    <t>A Captação é Subterrânea</t>
  </si>
  <si>
    <t>Qual volume anual captado em superfície outorgado (m³/ano)?</t>
  </si>
  <si>
    <t>Qual volume anual captado com medição em superfície (m³/ano) ?</t>
  </si>
  <si>
    <t>Não se aplica / Não Existente</t>
  </si>
  <si>
    <t>Coef. Pond. Único. Fixado CRH</t>
  </si>
  <si>
    <t xml:space="preserve">&gt; 90% a &lt;=95% de remoção </t>
  </si>
  <si>
    <r>
      <t>a) Valor para Captação anual</t>
    </r>
    <r>
      <rPr>
        <b/>
        <sz val="11"/>
        <color theme="1"/>
        <rFont val="Calibri"/>
        <family val="2"/>
        <scheme val="minor"/>
      </rPr>
      <t>: PUBcap x 1,1 x 1,1 X Qcap x 4</t>
    </r>
  </si>
  <si>
    <t>A medição é feita com qual sazonalidade (m³/ano)?</t>
  </si>
  <si>
    <t>volume anual total</t>
  </si>
  <si>
    <t>S</t>
  </si>
  <si>
    <t>Qual a eficiência do tratamento (%)</t>
  </si>
  <si>
    <t>Volume anual lançado (m³/ano)</t>
  </si>
  <si>
    <t>Y3 = (16-0,16PR)</t>
  </si>
  <si>
    <t>Y3 = (31-0,2PR)/15</t>
  </si>
  <si>
    <t>MINERAÇÃO</t>
  </si>
  <si>
    <t>Volume de minério mensal extraído (m³)</t>
  </si>
  <si>
    <t>Volume de areia mensal extraído (m³)</t>
  </si>
  <si>
    <t>carga anual (kg)</t>
  </si>
  <si>
    <t>SIMULADOR DE COBRANÇA INDIVIDUAL PELO USO DA ÁGUA NA BACIA HIDROGRÁFICA DO RIO PARAÍBA DO SUL - UGRHI-02</t>
  </si>
  <si>
    <t>Volume anual consumido (m³/ano)</t>
  </si>
  <si>
    <t>fator de consumo</t>
  </si>
  <si>
    <t>volume</t>
  </si>
  <si>
    <t>Fator de consumo</t>
  </si>
  <si>
    <t>Sazonalidade da medição do volume anual (m³/ano)</t>
  </si>
  <si>
    <t>Natureza do corpo d'água</t>
  </si>
  <si>
    <t>Classe de uso preponderante em que estiver enquadrado o corpo d'água no local do uso ou da derivação – Decreto Estadual 10.755/77.</t>
  </si>
  <si>
    <t>Disponibilidade hídrica local (Vazão Total de Demanda / Vazão de Referência). Vazão de Ref = Vazão Q7,10 + Vazão Potencial dos Aqüíferos Local = Divisão de sub-UGRHI, se não existir é para UGRHI</t>
  </si>
  <si>
    <t>Volume captado, extraído ou derivado e seu regime de variação (penaliza quando &lt; 70%)</t>
  </si>
  <si>
    <t>Classe de uso preponderante em que estiver enquadrado o corpo d'água receptor</t>
  </si>
  <si>
    <r>
      <t xml:space="preserve">Carga lançada e seu regime de variação, atendido o padrão de emissão requerido para o local </t>
    </r>
    <r>
      <rPr>
        <b/>
        <sz val="10"/>
        <color rgb="FF002060"/>
        <rFont val="Calibri"/>
        <family val="2"/>
        <scheme val="minor"/>
      </rPr>
      <t>( Art. 9º e Nota Técnica da Res.SERHS/SMA 1/2007)</t>
    </r>
    <r>
      <rPr>
        <sz val="10"/>
        <color theme="1"/>
        <rFont val="Calibri"/>
        <family val="2"/>
        <scheme val="minor"/>
      </rPr>
      <t xml:space="preserve">; </t>
    </r>
    <r>
      <rPr>
        <b/>
        <u/>
        <sz val="10"/>
        <color theme="1"/>
        <rFont val="Calibri"/>
        <family val="2"/>
        <scheme val="minor"/>
      </rPr>
      <t>vide nota 2</t>
    </r>
  </si>
  <si>
    <t>Natureza da atividade</t>
  </si>
  <si>
    <t>Conta anual pela mineração (R$)</t>
  </si>
  <si>
    <t>Captação anual de água (m³)</t>
  </si>
  <si>
    <t>Consumo anual de água  (m³)</t>
  </si>
  <si>
    <t>Valor da captação (R$)</t>
  </si>
  <si>
    <t>Valor do consumo (R$)</t>
  </si>
  <si>
    <t>Umectação de vias (R$)</t>
  </si>
  <si>
    <t>Vazão outorgada para Umectação de vias (m³/ano)</t>
  </si>
  <si>
    <t>Consumo da Umectação de vias (R$)</t>
  </si>
  <si>
    <t>Valor à vista (R$)</t>
  </si>
  <si>
    <t>Valor parcelado em 6x (R$)</t>
  </si>
  <si>
    <t xml:space="preserve">                   Calculado pelo Programa</t>
  </si>
  <si>
    <t>I - Para captação, extração e derivação: Valor = PUB x X1 x X2 x X3 x X5 x X6 x X7 x X13 x  Volume Anual</t>
  </si>
  <si>
    <t>II - Para consumo: Valor = PUB x X1 x X2 x X3 x  X5 x X6 x X7 x X13 x  Volume Anual</t>
  </si>
  <si>
    <r>
      <t>III - Para diluição, transp. e assimilação de efluentes (lançamento): Valor = PUB x Y1 x Y3 x Y4 x Volume Anual/1000 X DBO</t>
    </r>
    <r>
      <rPr>
        <b/>
        <sz val="6"/>
        <color theme="1"/>
        <rFont val="Calibri"/>
        <family val="2"/>
        <scheme val="minor"/>
      </rPr>
      <t>5,20</t>
    </r>
  </si>
  <si>
    <t>a) PR = 80% =&gt; Y3 = 1,0</t>
  </si>
  <si>
    <t>b) PR entre 80% &lt; PR &lt; 95% =&gt; Y3 = (31-0,2PR)/15</t>
  </si>
  <si>
    <t>c) PR ≥ 95% =&gt; Y3 = (16-0,16PR)</t>
  </si>
  <si>
    <t>X5 = 1 + [0,7 (VCAPOUT) - VCAPMED )] / [0,2 (VCAPOUT) + 0,8 (VCAPMED )]</t>
  </si>
  <si>
    <t>X5 = 1,0</t>
  </si>
  <si>
    <t>Se o usuário possui mais de uma captação e/ou lançamento, ele deverá realizar a soma de todos os pontos de captação e/ou lançamento, para realizar a simulação.</t>
  </si>
  <si>
    <r>
      <t xml:space="preserve">Lançamento DBO </t>
    </r>
    <r>
      <rPr>
        <sz val="9"/>
        <color theme="1"/>
        <rFont val="Calibri"/>
        <family val="2"/>
        <scheme val="minor"/>
      </rPr>
      <t xml:space="preserve">5,20 </t>
    </r>
    <r>
      <rPr>
        <sz val="11"/>
        <color theme="1"/>
        <rFont val="Calibri"/>
        <family val="2"/>
        <scheme val="minor"/>
      </rPr>
      <t>(mg/L)</t>
    </r>
  </si>
  <si>
    <t>O lançamento é feito em rio de domínio Federal ou fora da UGRHI-02?</t>
  </si>
  <si>
    <t>Lançamento em rio de domínio federal ou fora da bacia hidrográfica do Paraíba do Sul</t>
  </si>
  <si>
    <t>Sim</t>
  </si>
  <si>
    <t>Não</t>
  </si>
  <si>
    <t>UFESP 21</t>
  </si>
  <si>
    <t>PUB Cap 2023</t>
  </si>
  <si>
    <t>PUB Cons 2023</t>
  </si>
  <si>
    <t>PUB Lanç 2023</t>
  </si>
  <si>
    <t>PUB Cap 2024</t>
  </si>
  <si>
    <t>PUB Cons 2024</t>
  </si>
  <si>
    <t>PUB Lanç 2024</t>
  </si>
  <si>
    <t>PUB Cap 2025</t>
  </si>
  <si>
    <t>PUB Cons 2025</t>
  </si>
  <si>
    <t>PUB Lanç 2025</t>
  </si>
  <si>
    <t>PUB Cap 2022</t>
  </si>
  <si>
    <t>PUB Cons 2022</t>
  </si>
  <si>
    <t>PUB Lanç 2022</t>
  </si>
  <si>
    <t>2023 (40%)</t>
  </si>
  <si>
    <t>RESULTADO DA SIMULAÇÃO</t>
  </si>
  <si>
    <t>Calculado pelo programa    Situação Atual</t>
  </si>
  <si>
    <t>atual</t>
  </si>
  <si>
    <t>pufs (xs*pub)</t>
  </si>
  <si>
    <t>puf cap max 2023</t>
  </si>
  <si>
    <t>puf con max 2023</t>
  </si>
  <si>
    <t>puf max 2024</t>
  </si>
  <si>
    <t>puf max 2025</t>
  </si>
  <si>
    <t>puf con max 2024</t>
  </si>
  <si>
    <t>puf con max 2025</t>
  </si>
  <si>
    <t>puf</t>
  </si>
  <si>
    <t>pufs (xs com x13 sendo 1*pub)</t>
  </si>
  <si>
    <t>Há Captação, com valor fixado pelo CBH</t>
  </si>
  <si>
    <t xml:space="preserve">email:cbh-ps@comiteps.sp.gov.br  </t>
  </si>
  <si>
    <t>http://www.comiteps.sp.gov.br/</t>
  </si>
  <si>
    <t>Para maiores informações, consulte a secretaria execultiva do Comitê Hidrográfico do Rio Paraíba do Sul:   Fone: (12) 3632-0100</t>
  </si>
  <si>
    <t>Finalidade do uso</t>
  </si>
  <si>
    <t>Classe de uso preponderante em que estiver enquadrado o corpo d'água no local do uso ou da derivação</t>
  </si>
  <si>
    <t>Transposição de bacia - Quando existente é adotado valor 2,0 para o ano de 2022. Para os anos de 2023, 2024 e 2025 é adotado valor 1,0</t>
  </si>
  <si>
    <t>PUB Cap 2026</t>
  </si>
  <si>
    <t>PUB Cons 2026</t>
  </si>
  <si>
    <t>PUB Lanç 2026</t>
  </si>
  <si>
    <t>2026 (100%)</t>
  </si>
  <si>
    <t>2024 (60%)</t>
  </si>
  <si>
    <t>2025 (80%)</t>
  </si>
  <si>
    <t>puf max 2026</t>
  </si>
  <si>
    <t>puf con max 2026</t>
  </si>
  <si>
    <t>Valor parcelado em 8x (R$)</t>
  </si>
  <si>
    <t>2026 (40%)</t>
  </si>
  <si>
    <t>2027 (60%)</t>
  </si>
  <si>
    <t>2028 (80%)</t>
  </si>
  <si>
    <t>2029 (100%)</t>
  </si>
  <si>
    <r>
      <t xml:space="preserve">PREÇO UNITÁRIO BÁSICO (PUBs)  Atual   </t>
    </r>
    <r>
      <rPr>
        <b/>
        <sz val="11"/>
        <color theme="0"/>
        <rFont val="Calibri"/>
        <family val="2"/>
        <scheme val="minor"/>
      </rPr>
      <t>Calculado pelo Programa</t>
    </r>
  </si>
  <si>
    <r>
      <t xml:space="preserve">PREÇO UNITÁRIO FINAL (PUFs)  Atual      </t>
    </r>
    <r>
      <rPr>
        <b/>
        <sz val="11"/>
        <color theme="0"/>
        <rFont val="Calibri"/>
        <family val="2"/>
        <scheme val="minor"/>
      </rPr>
      <t>Calculado pelo Programa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</si>
</sst>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"/>
    <numFmt numFmtId="165" formatCode="_-&quot;R$&quot;\ * #,##0.000_-;\-&quot;R$&quot;\ * #,##0.000_-;_-&quot;R$&quot;\ * &quot;-&quot;??_-;_-@_-"/>
    <numFmt numFmtId="166" formatCode="_-&quot;R$&quot;\ * #,##0.0000_-;\-&quot;R$&quot;\ * #,##0.0000_-;_-&quot;R$&quot;\ * &quot;-&quot;??_-;_-@_-"/>
    <numFmt numFmtId="167" formatCode="_-[$$-409]* #,##0.0000_ ;_-[$$-409]* \-#,##0.0000\ ;_-[$$-409]* &quot;-&quot;??_ ;_-@_ "/>
    <numFmt numFmtId="168" formatCode="#,##0.000000"/>
    <numFmt numFmtId="169" formatCode="#,##0.000000000"/>
    <numFmt numFmtId="170" formatCode="_-[$$-409]* #,##0.00_ ;_-[$$-409]* \-#,##0.00\ ;_-[$$-409]* &quot;-&quot;??_ ;_-@_ "/>
    <numFmt numFmtId="171" formatCode="#,##0.0"/>
    <numFmt numFmtId="172" formatCode="_-[$R$-416]\ * #,##0.00000_-;\-[$R$-416]\ * #,##0.00000_-;_-[$R$-416]\ * &quot;-&quot;????_-;_-@_-"/>
    <numFmt numFmtId="173" formatCode="0.000"/>
    <numFmt numFmtId="174" formatCode="&quot;R$&quot;\ #,##0.000"/>
    <numFmt numFmtId="175" formatCode="&quot;R$&quot;\ #,##0.0000"/>
    <numFmt numFmtId="176" formatCode="&quot;R$&quot;\ #,##0.00000"/>
    <numFmt numFmtId="177" formatCode="0.0000"/>
    <numFmt numFmtId="178" formatCode="0.00000"/>
    <numFmt numFmtId="179" formatCode="_(&quot;R$ &quot;* #,##0.00_);_(&quot;R$ &quot;* \(#,##0.00\);_(&quot;R$ &quot;* &quot;-&quot;??_);_(@_)"/>
    <numFmt numFmtId="180" formatCode="&quot;R$&quot;\ #,##0.00"/>
    <numFmt numFmtId="181" formatCode="#,##0.0000"/>
    <numFmt numFmtId="182" formatCode="#,##0_ ;\-#,##0\ 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sz val="10.5"/>
      <color rgb="FF333333"/>
      <name val="Arial"/>
      <family val="2"/>
    </font>
    <font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rgb="FF002060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10.5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3"/>
      <color theme="9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6"/>
      <color theme="1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i/>
      <sz val="13"/>
      <color theme="0"/>
      <name val="Calibri"/>
      <family val="2"/>
      <scheme val="minor"/>
    </font>
    <font>
      <b/>
      <sz val="6"/>
      <color theme="1"/>
      <name val="Calibri"/>
      <family val="2"/>
      <scheme val="minor"/>
    </font>
    <font>
      <i/>
      <sz val="9"/>
      <color theme="9" tint="-0.249977111117893"/>
      <name val="Calibri"/>
      <family val="2"/>
      <scheme val="minor"/>
    </font>
    <font>
      <i/>
      <sz val="11"/>
      <color theme="9" tint="-0.249977111117893"/>
      <name val="Calibri"/>
      <family val="2"/>
      <scheme val="minor"/>
    </font>
    <font>
      <b/>
      <i/>
      <sz val="11"/>
      <color theme="9" tint="-0.249977111117893"/>
      <name val="Calibri"/>
      <family val="2"/>
      <scheme val="minor"/>
    </font>
    <font>
      <sz val="11"/>
      <color theme="5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i/>
      <sz val="9"/>
      <color theme="9" tint="-0.249977111117893"/>
      <name val="Calibri"/>
      <family val="2"/>
      <scheme val="minor"/>
    </font>
    <font>
      <u/>
      <sz val="11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sz val="12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FF00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medium">
        <color theme="9"/>
      </left>
      <right style="thin">
        <color theme="0"/>
      </right>
      <top style="medium">
        <color theme="9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theme="9"/>
      </top>
      <bottom style="thin">
        <color theme="0"/>
      </bottom>
      <diagonal/>
    </border>
    <border>
      <left style="thin">
        <color theme="0"/>
      </left>
      <right style="medium">
        <color theme="9"/>
      </right>
      <top style="medium">
        <color theme="9"/>
      </top>
      <bottom style="thin">
        <color theme="0"/>
      </bottom>
      <diagonal/>
    </border>
    <border>
      <left style="medium">
        <color theme="9"/>
      </left>
      <right/>
      <top style="thin">
        <color theme="0"/>
      </top>
      <bottom style="thin">
        <color theme="0"/>
      </bottom>
      <diagonal/>
    </border>
    <border>
      <left style="medium">
        <color theme="9"/>
      </left>
      <right/>
      <top style="thin">
        <color theme="0"/>
      </top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9"/>
      </left>
      <right/>
      <top style="medium">
        <color theme="9"/>
      </top>
      <bottom/>
      <diagonal/>
    </border>
    <border>
      <left/>
      <right style="medium">
        <color theme="9"/>
      </right>
      <top style="medium">
        <color theme="9"/>
      </top>
      <bottom/>
      <diagonal/>
    </border>
    <border>
      <left style="medium">
        <color theme="9"/>
      </left>
      <right/>
      <top/>
      <bottom style="medium">
        <color theme="9"/>
      </bottom>
      <diagonal/>
    </border>
    <border>
      <left/>
      <right/>
      <top/>
      <bottom style="medium">
        <color theme="9"/>
      </bottom>
      <diagonal/>
    </border>
    <border>
      <left/>
      <right style="medium">
        <color theme="9"/>
      </right>
      <top/>
      <bottom style="medium">
        <color theme="9"/>
      </bottom>
      <diagonal/>
    </border>
    <border>
      <left style="medium">
        <color theme="9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9"/>
      </right>
      <top style="thin">
        <color theme="0"/>
      </top>
      <bottom style="thin">
        <color theme="0"/>
      </bottom>
      <diagonal/>
    </border>
    <border>
      <left style="medium">
        <color theme="9"/>
      </left>
      <right style="thin">
        <color theme="0"/>
      </right>
      <top style="thin">
        <color theme="0"/>
      </top>
      <bottom style="medium">
        <color theme="9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9"/>
      </bottom>
      <diagonal/>
    </border>
    <border>
      <left style="thin">
        <color theme="0"/>
      </left>
      <right style="medium">
        <color theme="9"/>
      </right>
      <top style="thin">
        <color theme="0"/>
      </top>
      <bottom style="medium">
        <color theme="9"/>
      </bottom>
      <diagonal/>
    </border>
    <border>
      <left style="medium">
        <color theme="9"/>
      </left>
      <right/>
      <top style="medium">
        <color theme="9"/>
      </top>
      <bottom style="thin">
        <color theme="0"/>
      </bottom>
      <diagonal/>
    </border>
    <border>
      <left/>
      <right/>
      <top style="medium">
        <color theme="9"/>
      </top>
      <bottom style="thin">
        <color theme="0"/>
      </bottom>
      <diagonal/>
    </border>
    <border>
      <left/>
      <right style="medium">
        <color theme="9"/>
      </right>
      <top style="medium">
        <color theme="9"/>
      </top>
      <bottom style="thin">
        <color theme="0"/>
      </bottom>
      <diagonal/>
    </border>
    <border>
      <left style="medium">
        <color theme="9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medium">
        <color theme="9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theme="9"/>
      </right>
      <top style="thin">
        <color theme="0"/>
      </top>
      <bottom/>
      <diagonal/>
    </border>
    <border>
      <left style="thin">
        <color theme="0"/>
      </left>
      <right style="medium">
        <color theme="9"/>
      </right>
      <top style="medium">
        <color theme="9"/>
      </top>
      <bottom/>
      <diagonal/>
    </border>
    <border>
      <left/>
      <right style="thin">
        <color theme="0"/>
      </right>
      <top style="medium">
        <color theme="9"/>
      </top>
      <bottom/>
      <diagonal/>
    </border>
    <border>
      <left style="medium">
        <color theme="9"/>
      </left>
      <right style="thin">
        <color theme="0"/>
      </right>
      <top style="medium">
        <color theme="9"/>
      </top>
      <bottom/>
      <diagonal/>
    </border>
    <border>
      <left style="thin">
        <color theme="0"/>
      </left>
      <right style="thin">
        <color theme="0"/>
      </right>
      <top style="medium">
        <color theme="9"/>
      </top>
      <bottom/>
      <diagonal/>
    </border>
    <border>
      <left style="medium">
        <color theme="9"/>
      </left>
      <right/>
      <top style="thin">
        <color theme="0"/>
      </top>
      <bottom/>
      <diagonal/>
    </border>
    <border>
      <left/>
      <right style="medium">
        <color theme="9"/>
      </right>
      <top style="thin">
        <color theme="0"/>
      </top>
      <bottom/>
      <diagonal/>
    </border>
    <border>
      <left style="medium">
        <color theme="9"/>
      </left>
      <right/>
      <top/>
      <bottom/>
      <diagonal/>
    </border>
    <border>
      <left/>
      <right style="medium">
        <color theme="9"/>
      </right>
      <top/>
      <bottom/>
      <diagonal/>
    </border>
    <border>
      <left/>
      <right style="thin">
        <color theme="0"/>
      </right>
      <top style="thin">
        <color theme="0"/>
      </top>
      <bottom style="medium">
        <color theme="9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medium">
        <color theme="9"/>
      </bottom>
      <diagonal/>
    </border>
    <border>
      <left style="thin">
        <color theme="0"/>
      </left>
      <right style="medium">
        <color theme="9"/>
      </right>
      <top style="thin">
        <color theme="0" tint="-0.249977111117893"/>
      </top>
      <bottom style="thin">
        <color theme="0"/>
      </bottom>
      <diagonal/>
    </border>
    <border>
      <left style="thin">
        <color theme="0"/>
      </left>
      <right style="medium">
        <color theme="9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9"/>
      </left>
      <right style="medium">
        <color theme="9"/>
      </right>
      <top/>
      <bottom/>
      <diagonal/>
    </border>
    <border>
      <left style="thin">
        <color theme="0"/>
      </left>
      <right/>
      <top style="thin">
        <color theme="0" tint="-0.249977111117893"/>
      </top>
      <bottom style="medium">
        <color theme="9"/>
      </bottom>
      <diagonal/>
    </border>
    <border>
      <left style="thin">
        <color theme="0"/>
      </left>
      <right style="medium">
        <color theme="9"/>
      </right>
      <top style="thin">
        <color theme="0" tint="-0.34998626667073579"/>
      </top>
      <bottom style="thin">
        <color theme="0"/>
      </bottom>
      <diagonal/>
    </border>
    <border>
      <left style="thin">
        <color theme="0"/>
      </left>
      <right style="medium">
        <color theme="9"/>
      </right>
      <top style="thin">
        <color theme="0" tint="-0.34998626667073579"/>
      </top>
      <bottom/>
      <diagonal/>
    </border>
  </borders>
  <cellStyleXfs count="9">
    <xf numFmtId="0" fontId="0" fillId="0" borderId="0"/>
    <xf numFmtId="44" fontId="1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6" fillId="0" borderId="0"/>
    <xf numFmtId="179" fontId="26" fillId="0" borderId="0" applyFont="0" applyFill="0" applyBorder="0" applyAlignment="0" applyProtection="0"/>
    <xf numFmtId="17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43" fillId="0" borderId="0"/>
  </cellStyleXfs>
  <cellXfs count="427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3" fillId="0" borderId="12" xfId="0" applyFont="1" applyBorder="1" applyAlignment="1">
      <alignment horizontal="center" vertical="center"/>
    </xf>
    <xf numFmtId="0" fontId="13" fillId="0" borderId="0" xfId="0" applyFont="1"/>
    <xf numFmtId="0" fontId="3" fillId="0" borderId="0" xfId="0" applyFont="1" applyAlignment="1">
      <alignment horizontal="center" vertical="center"/>
    </xf>
    <xf numFmtId="0" fontId="0" fillId="11" borderId="18" xfId="0" applyFill="1" applyBorder="1"/>
    <xf numFmtId="0" fontId="0" fillId="0" borderId="18" xfId="0" applyBorder="1"/>
    <xf numFmtId="0" fontId="0" fillId="0" borderId="25" xfId="0" applyBorder="1"/>
    <xf numFmtId="0" fontId="0" fillId="11" borderId="37" xfId="0" applyFill="1" applyBorder="1" applyAlignment="1">
      <alignment horizontal="center"/>
    </xf>
    <xf numFmtId="0" fontId="0" fillId="11" borderId="38" xfId="0" applyFill="1" applyBorder="1" applyAlignment="1">
      <alignment vertical="center"/>
    </xf>
    <xf numFmtId="0" fontId="0" fillId="11" borderId="39" xfId="0" applyFill="1" applyBorder="1" applyAlignment="1">
      <alignment horizontal="center"/>
    </xf>
    <xf numFmtId="0" fontId="0" fillId="11" borderId="40" xfId="0" applyFill="1" applyBorder="1"/>
    <xf numFmtId="0" fontId="0" fillId="11" borderId="41" xfId="0" applyFill="1" applyBorder="1" applyAlignment="1">
      <alignment vertical="center"/>
    </xf>
    <xf numFmtId="0" fontId="0" fillId="11" borderId="37" xfId="0" applyFill="1" applyBorder="1" applyAlignment="1">
      <alignment horizontal="center" vertical="center"/>
    </xf>
    <xf numFmtId="0" fontId="0" fillId="11" borderId="37" xfId="0" applyFill="1" applyBorder="1"/>
    <xf numFmtId="0" fontId="0" fillId="11" borderId="38" xfId="0" applyFill="1" applyBorder="1"/>
    <xf numFmtId="0" fontId="0" fillId="11" borderId="39" xfId="0" applyFill="1" applyBorder="1"/>
    <xf numFmtId="0" fontId="0" fillId="11" borderId="41" xfId="0" applyFill="1" applyBorder="1"/>
    <xf numFmtId="0" fontId="3" fillId="0" borderId="1" xfId="0" applyFont="1" applyBorder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11" borderId="37" xfId="0" applyFill="1" applyBorder="1" applyAlignment="1">
      <alignment horizontal="left"/>
    </xf>
    <xf numFmtId="0" fontId="18" fillId="10" borderId="49" xfId="0" applyFont="1" applyFill="1" applyBorder="1" applyAlignment="1">
      <alignment horizontal="center" vertical="center"/>
    </xf>
    <xf numFmtId="0" fontId="18" fillId="0" borderId="0" xfId="0" applyFont="1" applyAlignment="1">
      <alignment horizontal="center"/>
    </xf>
    <xf numFmtId="0" fontId="0" fillId="11" borderId="18" xfId="0" applyFill="1" applyBorder="1" applyAlignment="1">
      <alignment horizontal="center"/>
    </xf>
    <xf numFmtId="0" fontId="0" fillId="11" borderId="18" xfId="0" applyFill="1" applyBorder="1" applyAlignment="1">
      <alignment vertical="center" wrapText="1"/>
    </xf>
    <xf numFmtId="0" fontId="0" fillId="11" borderId="18" xfId="0" applyFill="1" applyBorder="1" applyAlignment="1">
      <alignment horizontal="left"/>
    </xf>
    <xf numFmtId="0" fontId="0" fillId="11" borderId="40" xfId="0" applyFill="1" applyBorder="1" applyAlignment="1">
      <alignment horizontal="left"/>
    </xf>
    <xf numFmtId="0" fontId="0" fillId="11" borderId="39" xfId="0" applyFill="1" applyBorder="1" applyAlignment="1">
      <alignment horizontal="left"/>
    </xf>
    <xf numFmtId="0" fontId="0" fillId="11" borderId="26" xfId="0" applyFill="1" applyBorder="1" applyAlignment="1">
      <alignment horizontal="center"/>
    </xf>
    <xf numFmtId="0" fontId="0" fillId="11" borderId="27" xfId="0" applyFill="1" applyBorder="1"/>
    <xf numFmtId="0" fontId="0" fillId="11" borderId="28" xfId="0" applyFill="1" applyBorder="1" applyAlignment="1">
      <alignment vertical="center"/>
    </xf>
    <xf numFmtId="0" fontId="19" fillId="14" borderId="17" xfId="0" applyFont="1" applyFill="1" applyBorder="1" applyAlignment="1">
      <alignment vertical="center" wrapText="1"/>
    </xf>
    <xf numFmtId="0" fontId="0" fillId="14" borderId="18" xfId="0" applyFill="1" applyBorder="1"/>
    <xf numFmtId="0" fontId="19" fillId="14" borderId="20" xfId="0" applyFont="1" applyFill="1" applyBorder="1" applyAlignment="1">
      <alignment vertical="center" wrapText="1"/>
    </xf>
    <xf numFmtId="0" fontId="0" fillId="14" borderId="0" xfId="0" applyFill="1" applyAlignment="1">
      <alignment horizontal="center"/>
    </xf>
    <xf numFmtId="0" fontId="19" fillId="14" borderId="0" xfId="0" applyFont="1" applyFill="1" applyAlignment="1">
      <alignment vertical="center" wrapText="1"/>
    </xf>
    <xf numFmtId="0" fontId="19" fillId="14" borderId="16" xfId="0" applyFont="1" applyFill="1" applyBorder="1" applyAlignment="1">
      <alignment vertical="center" wrapText="1"/>
    </xf>
    <xf numFmtId="0" fontId="0" fillId="11" borderId="37" xfId="0" applyFill="1" applyBorder="1" applyAlignment="1">
      <alignment horizontal="left" vertical="center"/>
    </xf>
    <xf numFmtId="0" fontId="0" fillId="11" borderId="40" xfId="0" applyFill="1" applyBorder="1" applyAlignment="1">
      <alignment horizontal="center"/>
    </xf>
    <xf numFmtId="0" fontId="2" fillId="10" borderId="32" xfId="0" applyFont="1" applyFill="1" applyBorder="1" applyAlignment="1">
      <alignment horizontal="right"/>
    </xf>
    <xf numFmtId="4" fontId="32" fillId="10" borderId="41" xfId="0" applyNumberFormat="1" applyFont="1" applyFill="1" applyBorder="1" applyAlignment="1">
      <alignment horizontal="center" vertical="center"/>
    </xf>
    <xf numFmtId="4" fontId="34" fillId="11" borderId="38" xfId="0" applyNumberFormat="1" applyFont="1" applyFill="1" applyBorder="1" applyAlignment="1">
      <alignment horizontal="center"/>
    </xf>
    <xf numFmtId="177" fontId="35" fillId="11" borderId="18" xfId="0" applyNumberFormat="1" applyFont="1" applyFill="1" applyBorder="1" applyAlignment="1">
      <alignment horizontal="center" vertical="center"/>
    </xf>
    <xf numFmtId="177" fontId="35" fillId="11" borderId="40" xfId="0" applyNumberFormat="1" applyFont="1" applyFill="1" applyBorder="1" applyAlignment="1">
      <alignment horizontal="center" vertical="center"/>
    </xf>
    <xf numFmtId="178" fontId="35" fillId="11" borderId="18" xfId="0" applyNumberFormat="1" applyFont="1" applyFill="1" applyBorder="1" applyAlignment="1">
      <alignment horizontal="center" vertical="center"/>
    </xf>
    <xf numFmtId="178" fontId="35" fillId="11" borderId="40" xfId="0" applyNumberFormat="1" applyFont="1" applyFill="1" applyBorder="1" applyAlignment="1">
      <alignment horizontal="center" vertical="center"/>
    </xf>
    <xf numFmtId="2" fontId="35" fillId="11" borderId="38" xfId="0" applyNumberFormat="1" applyFont="1" applyFill="1" applyBorder="1" applyAlignment="1">
      <alignment horizontal="center" vertical="center"/>
    </xf>
    <xf numFmtId="4" fontId="35" fillId="11" borderId="41" xfId="0" applyNumberFormat="1" applyFont="1" applyFill="1" applyBorder="1" applyAlignment="1">
      <alignment horizontal="center" vertical="center"/>
    </xf>
    <xf numFmtId="4" fontId="36" fillId="11" borderId="38" xfId="0" applyNumberFormat="1" applyFont="1" applyFill="1" applyBorder="1" applyAlignment="1">
      <alignment horizontal="center" vertical="center"/>
    </xf>
    <xf numFmtId="4" fontId="36" fillId="11" borderId="41" xfId="0" applyNumberFormat="1" applyFont="1" applyFill="1" applyBorder="1" applyAlignment="1">
      <alignment horizontal="center" vertical="center"/>
    </xf>
    <xf numFmtId="0" fontId="0" fillId="11" borderId="45" xfId="0" applyFill="1" applyBorder="1" applyAlignment="1">
      <alignment horizontal="center"/>
    </xf>
    <xf numFmtId="0" fontId="0" fillId="11" borderId="47" xfId="0" applyFill="1" applyBorder="1" applyAlignment="1">
      <alignment horizontal="left"/>
    </xf>
    <xf numFmtId="0" fontId="0" fillId="0" borderId="35" xfId="0" applyBorder="1"/>
    <xf numFmtId="4" fontId="30" fillId="0" borderId="63" xfId="0" applyNumberFormat="1" applyFont="1" applyBorder="1" applyAlignment="1">
      <alignment horizontal="center" vertical="center"/>
    </xf>
    <xf numFmtId="0" fontId="0" fillId="0" borderId="62" xfId="0" applyBorder="1"/>
    <xf numFmtId="4" fontId="30" fillId="0" borderId="48" xfId="0" applyNumberFormat="1" applyFont="1" applyBorder="1" applyAlignment="1" applyProtection="1">
      <alignment horizontal="center" vertical="center"/>
      <protection locked="0"/>
    </xf>
    <xf numFmtId="4" fontId="30" fillId="0" borderId="61" xfId="0" applyNumberFormat="1" applyFont="1" applyBorder="1" applyAlignment="1" applyProtection="1">
      <alignment horizontal="center" vertical="center"/>
      <protection locked="0"/>
    </xf>
    <xf numFmtId="0" fontId="30" fillId="0" borderId="38" xfId="0" applyFont="1" applyBorder="1" applyAlignment="1" applyProtection="1">
      <alignment horizontal="center" vertical="center"/>
      <protection locked="0"/>
    </xf>
    <xf numFmtId="4" fontId="30" fillId="14" borderId="48" xfId="0" applyNumberFormat="1" applyFont="1" applyFill="1" applyBorder="1" applyAlignment="1" applyProtection="1">
      <alignment horizontal="center"/>
      <protection locked="0"/>
    </xf>
    <xf numFmtId="4" fontId="30" fillId="14" borderId="60" xfId="0" applyNumberFormat="1" applyFont="1" applyFill="1" applyBorder="1" applyAlignment="1" applyProtection="1">
      <alignment horizontal="center"/>
      <protection locked="0"/>
    </xf>
    <xf numFmtId="4" fontId="30" fillId="14" borderId="38" xfId="0" applyNumberFormat="1" applyFont="1" applyFill="1" applyBorder="1" applyAlignment="1" applyProtection="1">
      <alignment horizontal="center"/>
      <protection locked="0"/>
    </xf>
    <xf numFmtId="0" fontId="2" fillId="0" borderId="0" xfId="0" applyFont="1" applyAlignment="1" applyProtection="1">
      <alignment wrapText="1"/>
      <protection locked="0"/>
    </xf>
    <xf numFmtId="0" fontId="13" fillId="0" borderId="0" xfId="0" applyFont="1" applyProtection="1">
      <protection locked="0"/>
    </xf>
    <xf numFmtId="0" fontId="7" fillId="0" borderId="14" xfId="0" applyFont="1" applyBorder="1" applyAlignment="1" applyProtection="1">
      <alignment vertical="center"/>
      <protection locked="0"/>
    </xf>
    <xf numFmtId="0" fontId="7" fillId="0" borderId="1" xfId="0" applyFont="1" applyBorder="1" applyAlignment="1" applyProtection="1">
      <alignment horizontal="center"/>
      <protection locked="0"/>
    </xf>
    <xf numFmtId="166" fontId="7" fillId="0" borderId="1" xfId="1" applyNumberFormat="1" applyFont="1" applyBorder="1" applyProtection="1">
      <protection locked="0"/>
    </xf>
    <xf numFmtId="0" fontId="7" fillId="2" borderId="1" xfId="0" applyFont="1" applyFill="1" applyBorder="1" applyProtection="1">
      <protection locked="0"/>
    </xf>
    <xf numFmtId="0" fontId="0" fillId="0" borderId="0" xfId="0" applyProtection="1">
      <protection locked="0"/>
    </xf>
    <xf numFmtId="0" fontId="7" fillId="0" borderId="0" xfId="0" applyFont="1" applyAlignment="1" applyProtection="1">
      <alignment wrapText="1"/>
      <protection locked="0"/>
    </xf>
    <xf numFmtId="0" fontId="7" fillId="0" borderId="2" xfId="0" applyFont="1" applyBorder="1" applyAlignment="1" applyProtection="1">
      <alignment vertic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7" fillId="0" borderId="15" xfId="0" applyFont="1" applyBorder="1" applyAlignment="1" applyProtection="1">
      <alignment vertical="center"/>
      <protection locked="0"/>
    </xf>
    <xf numFmtId="0" fontId="0" fillId="2" borderId="0" xfId="0" applyFill="1" applyProtection="1">
      <protection locked="0"/>
    </xf>
    <xf numFmtId="0" fontId="0" fillId="0" borderId="0" xfId="0" applyAlignment="1" applyProtection="1">
      <alignment horizontal="left"/>
      <protection locked="0"/>
    </xf>
    <xf numFmtId="0" fontId="2" fillId="4" borderId="1" xfId="0" applyFont="1" applyFill="1" applyBorder="1" applyAlignment="1" applyProtection="1">
      <alignment horizontal="center"/>
      <protection locked="0"/>
    </xf>
    <xf numFmtId="170" fontId="21" fillId="0" borderId="0" xfId="0" applyNumberFormat="1" applyFont="1" applyProtection="1">
      <protection locked="0"/>
    </xf>
    <xf numFmtId="0" fontId="5" fillId="4" borderId="1" xfId="0" applyFont="1" applyFill="1" applyBorder="1" applyAlignment="1" applyProtection="1">
      <alignment horizontal="center"/>
      <protection locked="0"/>
    </xf>
    <xf numFmtId="0" fontId="5" fillId="4" borderId="2" xfId="0" applyFont="1" applyFill="1" applyBorder="1" applyAlignment="1" applyProtection="1">
      <alignment horizontal="center"/>
      <protection locked="0"/>
    </xf>
    <xf numFmtId="0" fontId="10" fillId="0" borderId="2" xfId="0" applyFont="1" applyBorder="1" applyAlignment="1" applyProtection="1">
      <alignment horizontal="left" vertical="center"/>
      <protection locked="0"/>
    </xf>
    <xf numFmtId="0" fontId="10" fillId="0" borderId="15" xfId="0" applyFont="1" applyBorder="1" applyAlignment="1" applyProtection="1">
      <alignment horizontal="left" vertical="center"/>
      <protection locked="0"/>
    </xf>
    <xf numFmtId="0" fontId="10" fillId="0" borderId="14" xfId="0" applyFont="1" applyBorder="1" applyAlignment="1" applyProtection="1">
      <alignment horizontal="left" vertical="center"/>
      <protection locked="0"/>
    </xf>
    <xf numFmtId="0" fontId="13" fillId="0" borderId="0" xfId="0" applyFont="1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7" fillId="0" borderId="0" xfId="0" applyFont="1" applyAlignment="1" applyProtection="1">
      <alignment horizontal="center"/>
      <protection locked="0"/>
    </xf>
    <xf numFmtId="167" fontId="7" fillId="0" borderId="0" xfId="0" applyNumberFormat="1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right"/>
      <protection locked="0"/>
    </xf>
    <xf numFmtId="0" fontId="22" fillId="0" borderId="0" xfId="0" applyFont="1" applyAlignment="1" applyProtection="1">
      <alignment horizontal="left"/>
      <protection locked="0"/>
    </xf>
    <xf numFmtId="0" fontId="11" fillId="0" borderId="0" xfId="0" applyFont="1" applyAlignment="1" applyProtection="1">
      <alignment horizontal="center"/>
      <protection locked="0"/>
    </xf>
    <xf numFmtId="4" fontId="0" fillId="0" borderId="0" xfId="0" applyNumberFormat="1" applyProtection="1">
      <protection locked="0"/>
    </xf>
    <xf numFmtId="0" fontId="10" fillId="0" borderId="1" xfId="0" applyFont="1" applyBorder="1" applyAlignment="1" applyProtection="1">
      <alignment horizontal="left" vertical="center"/>
      <protection locked="0"/>
    </xf>
    <xf numFmtId="0" fontId="9" fillId="7" borderId="1" xfId="0" applyFont="1" applyFill="1" applyBorder="1" applyAlignment="1" applyProtection="1">
      <alignment horizontal="left" vertical="center"/>
      <protection locked="0"/>
    </xf>
    <xf numFmtId="171" fontId="0" fillId="0" borderId="0" xfId="0" applyNumberFormat="1" applyAlignment="1" applyProtection="1">
      <alignment horizontal="center"/>
      <protection locked="0"/>
    </xf>
    <xf numFmtId="0" fontId="9" fillId="7" borderId="14" xfId="0" applyFont="1" applyFill="1" applyBorder="1" applyAlignment="1" applyProtection="1">
      <alignment horizontal="left" vertical="center"/>
      <protection locked="0"/>
    </xf>
    <xf numFmtId="0" fontId="8" fillId="7" borderId="15" xfId="0" applyFont="1" applyFill="1" applyBorder="1" applyAlignment="1" applyProtection="1">
      <alignment horizontal="left" vertical="center"/>
      <protection locked="0"/>
    </xf>
    <xf numFmtId="0" fontId="8" fillId="7" borderId="0" xfId="0" applyFont="1" applyFill="1" applyAlignment="1" applyProtection="1">
      <alignment horizontal="left" vertical="center"/>
      <protection locked="0"/>
    </xf>
    <xf numFmtId="173" fontId="0" fillId="13" borderId="0" xfId="0" applyNumberFormat="1" applyFill="1" applyAlignment="1" applyProtection="1">
      <alignment horizontal="center"/>
      <protection locked="0"/>
    </xf>
    <xf numFmtId="173" fontId="0" fillId="9" borderId="0" xfId="0" applyNumberFormat="1" applyFill="1" applyAlignment="1" applyProtection="1">
      <alignment horizontal="center"/>
      <protection locked="0"/>
    </xf>
    <xf numFmtId="4" fontId="29" fillId="0" borderId="0" xfId="0" applyNumberFormat="1" applyFont="1" applyAlignment="1" applyProtection="1">
      <alignment horizontal="center"/>
      <protection locked="0"/>
    </xf>
    <xf numFmtId="0" fontId="29" fillId="0" borderId="0" xfId="0" applyFont="1" applyProtection="1">
      <protection locked="0"/>
    </xf>
    <xf numFmtId="174" fontId="0" fillId="0" borderId="0" xfId="0" applyNumberFormat="1" applyAlignment="1" applyProtection="1">
      <alignment horizontal="center"/>
      <protection locked="0"/>
    </xf>
    <xf numFmtId="0" fontId="0" fillId="3" borderId="0" xfId="0" applyFill="1" applyProtection="1">
      <protection locked="0"/>
    </xf>
    <xf numFmtId="0" fontId="5" fillId="4" borderId="14" xfId="0" applyFont="1" applyFill="1" applyBorder="1" applyAlignment="1" applyProtection="1">
      <alignment horizontal="center"/>
      <protection locked="0"/>
    </xf>
    <xf numFmtId="0" fontId="8" fillId="7" borderId="14" xfId="0" applyFont="1" applyFill="1" applyBorder="1" applyProtection="1">
      <protection locked="0"/>
    </xf>
    <xf numFmtId="0" fontId="8" fillId="7" borderId="15" xfId="0" applyFont="1" applyFill="1" applyBorder="1" applyProtection="1">
      <protection locked="0"/>
    </xf>
    <xf numFmtId="0" fontId="8" fillId="7" borderId="2" xfId="0" applyFont="1" applyFill="1" applyBorder="1" applyProtection="1">
      <protection locked="0"/>
    </xf>
    <xf numFmtId="0" fontId="8" fillId="7" borderId="14" xfId="0" applyFont="1" applyFill="1" applyBorder="1" applyAlignment="1" applyProtection="1">
      <alignment vertical="center"/>
      <protection locked="0"/>
    </xf>
    <xf numFmtId="168" fontId="7" fillId="0" borderId="0" xfId="0" applyNumberFormat="1" applyFont="1" applyProtection="1">
      <protection locked="0"/>
    </xf>
    <xf numFmtId="0" fontId="5" fillId="0" borderId="1" xfId="0" applyFont="1" applyBorder="1" applyProtection="1">
      <protection locked="0"/>
    </xf>
    <xf numFmtId="0" fontId="5" fillId="0" borderId="14" xfId="0" applyFont="1" applyBorder="1" applyProtection="1">
      <protection locked="0"/>
    </xf>
    <xf numFmtId="0" fontId="5" fillId="0" borderId="1" xfId="0" applyFont="1" applyBorder="1" applyAlignment="1" applyProtection="1">
      <alignment vertical="center"/>
      <protection locked="0"/>
    </xf>
    <xf numFmtId="176" fontId="0" fillId="0" borderId="0" xfId="0" applyNumberFormat="1" applyProtection="1">
      <protection locked="0"/>
    </xf>
    <xf numFmtId="0" fontId="5" fillId="0" borderId="14" xfId="0" applyFont="1" applyBorder="1" applyAlignment="1" applyProtection="1">
      <alignment vertical="center"/>
      <protection locked="0"/>
    </xf>
    <xf numFmtId="177" fontId="0" fillId="0" borderId="0" xfId="0" applyNumberFormat="1" applyProtection="1">
      <protection locked="0"/>
    </xf>
    <xf numFmtId="173" fontId="0" fillId="0" borderId="0" xfId="0" applyNumberFormat="1" applyAlignment="1" applyProtection="1">
      <alignment horizontal="center"/>
      <protection locked="0"/>
    </xf>
    <xf numFmtId="174" fontId="0" fillId="10" borderId="0" xfId="0" applyNumberFormat="1" applyFill="1" applyAlignment="1" applyProtection="1">
      <alignment horizontal="center"/>
      <protection locked="0"/>
    </xf>
    <xf numFmtId="0" fontId="5" fillId="5" borderId="0" xfId="0" applyFont="1" applyFill="1" applyAlignment="1" applyProtection="1">
      <alignment horizontal="center"/>
      <protection locked="0"/>
    </xf>
    <xf numFmtId="0" fontId="10" fillId="0" borderId="2" xfId="0" applyFont="1" applyBorder="1" applyProtection="1">
      <protection locked="0"/>
    </xf>
    <xf numFmtId="169" fontId="7" fillId="0" borderId="0" xfId="0" applyNumberFormat="1" applyFont="1" applyAlignment="1" applyProtection="1">
      <alignment horizontal="right"/>
      <protection locked="0"/>
    </xf>
    <xf numFmtId="3" fontId="0" fillId="0" borderId="0" xfId="0" applyNumberFormat="1" applyAlignment="1" applyProtection="1">
      <alignment horizontal="center"/>
      <protection locked="0"/>
    </xf>
    <xf numFmtId="0" fontId="10" fillId="0" borderId="3" xfId="0" applyFont="1" applyBorder="1" applyAlignment="1" applyProtection="1">
      <alignment horizontal="left" vertical="center"/>
      <protection locked="0"/>
    </xf>
    <xf numFmtId="0" fontId="10" fillId="0" borderId="0" xfId="0" applyFont="1" applyProtection="1">
      <protection locked="0"/>
    </xf>
    <xf numFmtId="177" fontId="2" fillId="12" borderId="0" xfId="0" applyNumberFormat="1" applyFont="1" applyFill="1" applyAlignment="1" applyProtection="1">
      <alignment horizontal="center" vertical="center" wrapText="1"/>
      <protection locked="0"/>
    </xf>
    <xf numFmtId="0" fontId="10" fillId="0" borderId="14" xfId="0" applyFont="1" applyBorder="1" applyProtection="1">
      <protection locked="0"/>
    </xf>
    <xf numFmtId="0" fontId="10" fillId="0" borderId="15" xfId="0" applyFont="1" applyBorder="1" applyProtection="1">
      <protection locked="0"/>
    </xf>
    <xf numFmtId="0" fontId="10" fillId="0" borderId="0" xfId="0" applyFont="1" applyAlignment="1" applyProtection="1">
      <alignment horizontal="left" vertical="center"/>
      <protection locked="0"/>
    </xf>
    <xf numFmtId="4" fontId="0" fillId="0" borderId="0" xfId="0" applyNumberFormat="1" applyAlignment="1" applyProtection="1">
      <alignment horizontal="center"/>
      <protection locked="0"/>
    </xf>
    <xf numFmtId="165" fontId="2" fillId="0" borderId="0" xfId="1" applyNumberFormat="1" applyFont="1" applyAlignment="1" applyProtection="1">
      <alignment horizontal="left"/>
      <protection locked="0"/>
    </xf>
    <xf numFmtId="175" fontId="0" fillId="0" borderId="0" xfId="0" applyNumberFormat="1" applyAlignment="1" applyProtection="1">
      <alignment horizontal="center"/>
      <protection locked="0"/>
    </xf>
    <xf numFmtId="180" fontId="0" fillId="0" borderId="0" xfId="0" applyNumberFormat="1" applyAlignment="1" applyProtection="1">
      <alignment horizontal="center"/>
      <protection locked="0"/>
    </xf>
    <xf numFmtId="0" fontId="2" fillId="9" borderId="1" xfId="0" applyFont="1" applyFill="1" applyBorder="1" applyProtection="1">
      <protection locked="0"/>
    </xf>
    <xf numFmtId="0" fontId="2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0" fillId="2" borderId="0" xfId="0" applyFill="1"/>
    <xf numFmtId="0" fontId="2" fillId="0" borderId="0" xfId="0" applyFont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8" borderId="1" xfId="0" applyFont="1" applyFill="1" applyBorder="1" applyAlignment="1">
      <alignment horizontal="center"/>
    </xf>
    <xf numFmtId="0" fontId="3" fillId="0" borderId="0" xfId="0" applyFont="1"/>
    <xf numFmtId="0" fontId="5" fillId="4" borderId="3" xfId="0" applyFont="1" applyFill="1" applyBorder="1" applyAlignment="1">
      <alignment horizontal="center"/>
    </xf>
    <xf numFmtId="0" fontId="3" fillId="2" borderId="0" xfId="0" applyFont="1" applyFill="1" applyAlignment="1">
      <alignment horizontal="left"/>
    </xf>
    <xf numFmtId="0" fontId="5" fillId="8" borderId="5" xfId="0" applyFont="1" applyFill="1" applyBorder="1" applyAlignment="1">
      <alignment horizontal="center"/>
    </xf>
    <xf numFmtId="2" fontId="3" fillId="2" borderId="0" xfId="0" applyNumberFormat="1" applyFont="1" applyFill="1" applyAlignment="1">
      <alignment horizontal="center"/>
    </xf>
    <xf numFmtId="0" fontId="3" fillId="0" borderId="5" xfId="0" applyFont="1" applyBorder="1" applyAlignment="1">
      <alignment horizontal="center"/>
    </xf>
    <xf numFmtId="2" fontId="0" fillId="6" borderId="14" xfId="0" applyNumberForma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left"/>
    </xf>
    <xf numFmtId="2" fontId="3" fillId="2" borderId="9" xfId="0" applyNumberFormat="1" applyFont="1" applyFill="1" applyBorder="1" applyAlignment="1">
      <alignment horizontal="center"/>
    </xf>
    <xf numFmtId="0" fontId="3" fillId="0" borderId="10" xfId="0" applyFont="1" applyBorder="1" applyAlignment="1">
      <alignment horizontal="center"/>
    </xf>
    <xf numFmtId="2" fontId="0" fillId="6" borderId="15" xfId="0" applyNumberFormat="1" applyFill="1" applyBorder="1" applyAlignment="1">
      <alignment horizontal="center" vertical="center"/>
    </xf>
    <xf numFmtId="0" fontId="3" fillId="0" borderId="7" xfId="0" applyFont="1" applyBorder="1" applyAlignment="1">
      <alignment horizontal="center"/>
    </xf>
    <xf numFmtId="2" fontId="0" fillId="6" borderId="2" xfId="0" applyNumberFormat="1" applyFill="1" applyBorder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2" fontId="3" fillId="2" borderId="0" xfId="0" applyNumberFormat="1" applyFont="1" applyFill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7" xfId="0" applyFont="1" applyBorder="1" applyAlignment="1">
      <alignment horizontal="center" vertical="center"/>
    </xf>
    <xf numFmtId="0" fontId="3" fillId="2" borderId="9" xfId="0" applyFont="1" applyFill="1" applyBorder="1" applyAlignment="1">
      <alignment horizontal="left" vertical="center"/>
    </xf>
    <xf numFmtId="2" fontId="3" fillId="2" borderId="9" xfId="0" applyNumberFormat="1" applyFont="1" applyFill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2" borderId="0" xfId="0" applyFont="1" applyFill="1" applyAlignment="1">
      <alignment horizontal="left" vertical="center" wrapText="1"/>
    </xf>
    <xf numFmtId="0" fontId="3" fillId="2" borderId="9" xfId="0" applyFont="1" applyFill="1" applyBorder="1" applyAlignment="1">
      <alignment horizontal="left" vertical="center" wrapText="1"/>
    </xf>
    <xf numFmtId="0" fontId="3" fillId="2" borderId="11" xfId="0" applyFont="1" applyFill="1" applyBorder="1" applyAlignment="1">
      <alignment wrapText="1"/>
    </xf>
    <xf numFmtId="0" fontId="3" fillId="2" borderId="12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left" vertical="center" wrapText="1"/>
    </xf>
    <xf numFmtId="0" fontId="10" fillId="6" borderId="1" xfId="0" applyFont="1" applyFill="1" applyBorder="1" applyAlignment="1">
      <alignment horizontal="left" vertical="center" wrapText="1"/>
    </xf>
    <xf numFmtId="0" fontId="10" fillId="6" borderId="14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center"/>
    </xf>
    <xf numFmtId="2" fontId="12" fillId="2" borderId="9" xfId="0" applyNumberFormat="1" applyFont="1" applyFill="1" applyBorder="1" applyAlignment="1">
      <alignment horizontal="center"/>
    </xf>
    <xf numFmtId="0" fontId="12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 vertical="center"/>
    </xf>
    <xf numFmtId="2" fontId="12" fillId="2" borderId="0" xfId="0" applyNumberFormat="1" applyFont="1" applyFill="1" applyAlignment="1">
      <alignment horizontal="center"/>
    </xf>
    <xf numFmtId="0" fontId="3" fillId="2" borderId="4" xfId="0" applyFont="1" applyFill="1" applyBorder="1" applyAlignment="1">
      <alignment horizontal="left"/>
    </xf>
    <xf numFmtId="2" fontId="12" fillId="2" borderId="4" xfId="0" applyNumberFormat="1" applyFont="1" applyFill="1" applyBorder="1" applyAlignment="1">
      <alignment horizontal="center"/>
    </xf>
    <xf numFmtId="0" fontId="3" fillId="0" borderId="13" xfId="0" applyFont="1" applyBorder="1" applyAlignment="1">
      <alignment horizontal="center"/>
    </xf>
    <xf numFmtId="2" fontId="8" fillId="7" borderId="1" xfId="0" applyNumberFormat="1" applyFont="1" applyFill="1" applyBorder="1" applyAlignment="1">
      <alignment horizontal="center" vertical="center"/>
    </xf>
    <xf numFmtId="2" fontId="8" fillId="7" borderId="14" xfId="0" applyNumberFormat="1" applyFont="1" applyFill="1" applyBorder="1" applyAlignment="1">
      <alignment horizontal="center" vertical="center"/>
    </xf>
    <xf numFmtId="0" fontId="3" fillId="2" borderId="11" xfId="0" applyFont="1" applyFill="1" applyBorder="1"/>
    <xf numFmtId="0" fontId="3" fillId="0" borderId="13" xfId="0" applyFont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/>
    </xf>
    <xf numFmtId="2" fontId="8" fillId="7" borderId="15" xfId="0" applyNumberFormat="1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2" fontId="8" fillId="7" borderId="0" xfId="0" applyNumberFormat="1" applyFont="1" applyFill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172" fontId="3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3" borderId="0" xfId="0" applyFill="1" applyAlignment="1">
      <alignment horizontal="center"/>
    </xf>
    <xf numFmtId="0" fontId="0" fillId="3" borderId="0" xfId="0" applyFill="1"/>
    <xf numFmtId="0" fontId="0" fillId="15" borderId="0" xfId="0" applyFill="1"/>
    <xf numFmtId="0" fontId="0" fillId="15" borderId="0" xfId="0" applyFill="1" applyAlignment="1">
      <alignment horizontal="center"/>
    </xf>
    <xf numFmtId="0" fontId="0" fillId="15" borderId="0" xfId="0" applyFill="1" applyAlignment="1">
      <alignment horizontal="left"/>
    </xf>
    <xf numFmtId="164" fontId="0" fillId="15" borderId="0" xfId="0" applyNumberFormat="1" applyFill="1" applyAlignment="1">
      <alignment horizontal="center"/>
    </xf>
    <xf numFmtId="0" fontId="5" fillId="15" borderId="1" xfId="0" applyFont="1" applyFill="1" applyBorder="1" applyAlignment="1">
      <alignment horizontal="center"/>
    </xf>
    <xf numFmtId="0" fontId="3" fillId="15" borderId="4" xfId="0" applyFont="1" applyFill="1" applyBorder="1" applyAlignment="1">
      <alignment horizontal="left"/>
    </xf>
    <xf numFmtId="0" fontId="5" fillId="15" borderId="4" xfId="0" applyFont="1" applyFill="1" applyBorder="1" applyAlignment="1">
      <alignment horizontal="center"/>
    </xf>
    <xf numFmtId="0" fontId="3" fillId="15" borderId="0" xfId="0" applyFont="1" applyFill="1" applyAlignment="1">
      <alignment horizontal="left"/>
    </xf>
    <xf numFmtId="164" fontId="3" fillId="15" borderId="0" xfId="0" applyNumberFormat="1" applyFont="1" applyFill="1" applyAlignment="1">
      <alignment horizontal="center"/>
    </xf>
    <xf numFmtId="2" fontId="8" fillId="7" borderId="3" xfId="0" applyNumberFormat="1" applyFont="1" applyFill="1" applyBorder="1" applyAlignment="1">
      <alignment horizontal="center"/>
    </xf>
    <xf numFmtId="0" fontId="3" fillId="15" borderId="9" xfId="0" applyFont="1" applyFill="1" applyBorder="1" applyAlignment="1">
      <alignment horizontal="left"/>
    </xf>
    <xf numFmtId="164" fontId="3" fillId="15" borderId="9" xfId="0" applyNumberFormat="1" applyFont="1" applyFill="1" applyBorder="1" applyAlignment="1">
      <alignment horizontal="center"/>
    </xf>
    <xf numFmtId="2" fontId="8" fillId="7" borderId="8" xfId="0" applyNumberFormat="1" applyFont="1" applyFill="1" applyBorder="1" applyAlignment="1">
      <alignment horizontal="center"/>
    </xf>
    <xf numFmtId="164" fontId="3" fillId="15" borderId="4" xfId="0" applyNumberFormat="1" applyFont="1" applyFill="1" applyBorder="1" applyAlignment="1">
      <alignment horizontal="center"/>
    </xf>
    <xf numFmtId="2" fontId="8" fillId="7" borderId="6" xfId="0" applyNumberFormat="1" applyFont="1" applyFill="1" applyBorder="1" applyAlignment="1">
      <alignment horizontal="center"/>
    </xf>
    <xf numFmtId="0" fontId="3" fillId="15" borderId="0" xfId="0" applyFont="1" applyFill="1" applyAlignment="1">
      <alignment horizontal="left" vertical="center"/>
    </xf>
    <xf numFmtId="164" fontId="3" fillId="15" borderId="0" xfId="0" applyNumberFormat="1" applyFont="1" applyFill="1" applyAlignment="1">
      <alignment horizontal="center" vertical="center"/>
    </xf>
    <xf numFmtId="2" fontId="8" fillId="7" borderId="3" xfId="0" applyNumberFormat="1" applyFont="1" applyFill="1" applyBorder="1" applyAlignment="1">
      <alignment horizontal="center" vertical="center"/>
    </xf>
    <xf numFmtId="0" fontId="3" fillId="15" borderId="9" xfId="0" applyFont="1" applyFill="1" applyBorder="1" applyAlignment="1">
      <alignment horizontal="left" vertical="center"/>
    </xf>
    <xf numFmtId="164" fontId="3" fillId="15" borderId="9" xfId="0" applyNumberFormat="1" applyFont="1" applyFill="1" applyBorder="1" applyAlignment="1">
      <alignment horizontal="center" vertical="center"/>
    </xf>
    <xf numFmtId="164" fontId="3" fillId="15" borderId="4" xfId="0" applyNumberFormat="1" applyFont="1" applyFill="1" applyBorder="1" applyAlignment="1">
      <alignment horizontal="center" vertical="center"/>
    </xf>
    <xf numFmtId="0" fontId="3" fillId="15" borderId="0" xfId="0" applyFont="1" applyFill="1" applyAlignment="1">
      <alignment horizontal="left" vertical="center" wrapText="1"/>
    </xf>
    <xf numFmtId="0" fontId="3" fillId="15" borderId="9" xfId="0" applyFont="1" applyFill="1" applyBorder="1" applyAlignment="1">
      <alignment horizontal="left" vertical="center" wrapText="1"/>
    </xf>
    <xf numFmtId="0" fontId="3" fillId="15" borderId="0" xfId="0" applyFont="1" applyFill="1" applyAlignment="1">
      <alignment horizontal="center" vertical="center"/>
    </xf>
    <xf numFmtId="164" fontId="5" fillId="15" borderId="0" xfId="0" applyNumberFormat="1" applyFont="1" applyFill="1" applyAlignment="1">
      <alignment horizontal="center" vertical="center"/>
    </xf>
    <xf numFmtId="0" fontId="5" fillId="6" borderId="1" xfId="0" applyFont="1" applyFill="1" applyBorder="1" applyAlignment="1">
      <alignment horizontal="left" vertical="center" wrapText="1"/>
    </xf>
    <xf numFmtId="164" fontId="5" fillId="15" borderId="4" xfId="0" applyNumberFormat="1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left" vertical="center" wrapText="1"/>
    </xf>
    <xf numFmtId="0" fontId="4" fillId="15" borderId="9" xfId="0" applyFont="1" applyFill="1" applyBorder="1" applyAlignment="1">
      <alignment horizontal="center"/>
    </xf>
    <xf numFmtId="0" fontId="3" fillId="15" borderId="12" xfId="0" applyFont="1" applyFill="1" applyBorder="1" applyAlignment="1">
      <alignment horizontal="center" vertical="center" wrapText="1"/>
    </xf>
    <xf numFmtId="0" fontId="3" fillId="15" borderId="12" xfId="0" applyFont="1" applyFill="1" applyBorder="1" applyAlignment="1">
      <alignment horizontal="center" vertical="center"/>
    </xf>
    <xf numFmtId="0" fontId="3" fillId="15" borderId="12" xfId="0" applyFont="1" applyFill="1" applyBorder="1" applyAlignment="1">
      <alignment horizontal="left" vertical="center" wrapText="1"/>
    </xf>
    <xf numFmtId="164" fontId="3" fillId="15" borderId="12" xfId="0" applyNumberFormat="1" applyFont="1" applyFill="1" applyBorder="1" applyAlignment="1">
      <alignment horizontal="center"/>
    </xf>
    <xf numFmtId="2" fontId="0" fillId="6" borderId="11" xfId="0" applyNumberFormat="1" applyFill="1" applyBorder="1" applyAlignment="1">
      <alignment horizontal="center" vertical="center"/>
    </xf>
    <xf numFmtId="2" fontId="0" fillId="6" borderId="3" xfId="0" applyNumberFormat="1" applyFill="1" applyBorder="1" applyAlignment="1">
      <alignment horizontal="center" vertical="center"/>
    </xf>
    <xf numFmtId="0" fontId="3" fillId="15" borderId="9" xfId="0" applyFont="1" applyFill="1" applyBorder="1"/>
    <xf numFmtId="0" fontId="3" fillId="15" borderId="9" xfId="0" applyFont="1" applyFill="1" applyBorder="1" applyAlignment="1">
      <alignment horizontal="center" vertical="center"/>
    </xf>
    <xf numFmtId="164" fontId="5" fillId="15" borderId="9" xfId="0" applyNumberFormat="1" applyFont="1" applyFill="1" applyBorder="1" applyAlignment="1">
      <alignment horizontal="center" vertical="center"/>
    </xf>
    <xf numFmtId="0" fontId="3" fillId="15" borderId="12" xfId="0" applyFont="1" applyFill="1" applyBorder="1"/>
    <xf numFmtId="164" fontId="5" fillId="15" borderId="12" xfId="0" applyNumberFormat="1" applyFont="1" applyFill="1" applyBorder="1" applyAlignment="1">
      <alignment horizontal="center" vertical="center"/>
    </xf>
    <xf numFmtId="0" fontId="3" fillId="15" borderId="12" xfId="0" applyFont="1" applyFill="1" applyBorder="1" applyAlignment="1">
      <alignment wrapText="1"/>
    </xf>
    <xf numFmtId="0" fontId="3" fillId="15" borderId="4" xfId="0" applyFont="1" applyFill="1" applyBorder="1" applyAlignment="1">
      <alignment wrapText="1"/>
    </xf>
    <xf numFmtId="0" fontId="3" fillId="15" borderId="4" xfId="0" applyFont="1" applyFill="1" applyBorder="1" applyAlignment="1">
      <alignment horizontal="center" vertical="center"/>
    </xf>
    <xf numFmtId="0" fontId="3" fillId="15" borderId="4" xfId="0" applyFont="1" applyFill="1" applyBorder="1" applyAlignment="1">
      <alignment horizontal="left" vertical="center" wrapText="1"/>
    </xf>
    <xf numFmtId="176" fontId="3" fillId="15" borderId="4" xfId="0" applyNumberFormat="1" applyFont="1" applyFill="1" applyBorder="1" applyAlignment="1">
      <alignment horizontal="center" vertical="center"/>
    </xf>
    <xf numFmtId="172" fontId="3" fillId="15" borderId="9" xfId="0" applyNumberFormat="1" applyFont="1" applyFill="1" applyBorder="1" applyAlignment="1">
      <alignment horizontal="center" vertical="center"/>
    </xf>
    <xf numFmtId="172" fontId="3" fillId="0" borderId="0" xfId="0" applyNumberFormat="1" applyFont="1" applyAlignment="1">
      <alignment horizontal="center" vertical="center"/>
    </xf>
    <xf numFmtId="0" fontId="0" fillId="5" borderId="0" xfId="0" applyFill="1"/>
    <xf numFmtId="0" fontId="5" fillId="5" borderId="0" xfId="0" applyFont="1" applyFill="1" applyAlignment="1">
      <alignment horizontal="center"/>
    </xf>
    <xf numFmtId="0" fontId="0" fillId="7" borderId="0" xfId="0" applyFill="1"/>
    <xf numFmtId="0" fontId="0" fillId="7" borderId="0" xfId="0" applyFill="1" applyAlignment="1">
      <alignment horizontal="center"/>
    </xf>
    <xf numFmtId="0" fontId="0" fillId="7" borderId="0" xfId="0" applyFill="1" applyAlignment="1">
      <alignment horizontal="left"/>
    </xf>
    <xf numFmtId="0" fontId="5" fillId="7" borderId="14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3" fillId="7" borderId="4" xfId="0" applyFont="1" applyFill="1" applyBorder="1" applyAlignment="1">
      <alignment horizontal="left"/>
    </xf>
    <xf numFmtId="0" fontId="5" fillId="4" borderId="6" xfId="0" applyFont="1" applyFill="1" applyBorder="1" applyAlignment="1">
      <alignment horizontal="center"/>
    </xf>
    <xf numFmtId="0" fontId="3" fillId="7" borderId="0" xfId="0" applyFont="1" applyFill="1" applyAlignment="1">
      <alignment horizontal="left" vertical="center"/>
    </xf>
    <xf numFmtId="164" fontId="3" fillId="7" borderId="0" xfId="0" applyNumberFormat="1" applyFont="1" applyFill="1" applyAlignment="1">
      <alignment horizontal="center" vertical="center"/>
    </xf>
    <xf numFmtId="2" fontId="0" fillId="6" borderId="6" xfId="0" applyNumberFormat="1" applyFill="1" applyBorder="1" applyAlignment="1">
      <alignment horizontal="center"/>
    </xf>
    <xf numFmtId="0" fontId="3" fillId="7" borderId="9" xfId="0" applyFont="1" applyFill="1" applyBorder="1" applyAlignment="1">
      <alignment horizontal="left" vertical="center"/>
    </xf>
    <xf numFmtId="164" fontId="3" fillId="7" borderId="9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horizontal="left" vertical="center" wrapText="1"/>
    </xf>
    <xf numFmtId="0" fontId="3" fillId="7" borderId="0" xfId="0" applyFont="1" applyFill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5" fillId="7" borderId="0" xfId="0" applyFont="1" applyFill="1" applyAlignment="1">
      <alignment horizontal="left" vertical="center" wrapText="1"/>
    </xf>
    <xf numFmtId="2" fontId="0" fillId="6" borderId="0" xfId="0" applyNumberFormat="1" applyFill="1" applyAlignment="1">
      <alignment horizontal="center"/>
    </xf>
    <xf numFmtId="0" fontId="3" fillId="7" borderId="0" xfId="0" applyFont="1" applyFill="1" applyAlignment="1">
      <alignment vertical="center" wrapText="1"/>
    </xf>
    <xf numFmtId="0" fontId="3" fillId="0" borderId="22" xfId="0" applyFont="1" applyBorder="1" applyAlignment="1">
      <alignment horizontal="center" vertical="center"/>
    </xf>
    <xf numFmtId="2" fontId="0" fillId="6" borderId="2" xfId="0" applyNumberFormat="1" applyFill="1" applyBorder="1" applyAlignment="1">
      <alignment horizontal="center"/>
    </xf>
    <xf numFmtId="0" fontId="3" fillId="7" borderId="9" xfId="0" applyFont="1" applyFill="1" applyBorder="1" applyAlignment="1">
      <alignment horizontal="left" vertical="center" wrapText="1"/>
    </xf>
    <xf numFmtId="0" fontId="5" fillId="7" borderId="9" xfId="0" applyFont="1" applyFill="1" applyBorder="1" applyAlignment="1">
      <alignment vertical="center" wrapText="1"/>
    </xf>
    <xf numFmtId="0" fontId="12" fillId="0" borderId="23" xfId="0" applyFont="1" applyBorder="1" applyAlignment="1">
      <alignment horizontal="center" vertical="center"/>
    </xf>
    <xf numFmtId="2" fontId="8" fillId="7" borderId="15" xfId="0" applyNumberFormat="1" applyFont="1" applyFill="1" applyBorder="1" applyAlignment="1">
      <alignment horizontal="center"/>
    </xf>
    <xf numFmtId="0" fontId="12" fillId="0" borderId="0" xfId="0" applyFont="1" applyAlignment="1">
      <alignment horizontal="center" vertical="center"/>
    </xf>
    <xf numFmtId="2" fontId="8" fillId="7" borderId="2" xfId="0" applyNumberFormat="1" applyFont="1" applyFill="1" applyBorder="1" applyAlignment="1">
      <alignment horizontal="center"/>
    </xf>
    <xf numFmtId="0" fontId="3" fillId="0" borderId="21" xfId="0" applyFont="1" applyBorder="1" applyAlignment="1">
      <alignment horizontal="center"/>
    </xf>
    <xf numFmtId="2" fontId="0" fillId="0" borderId="14" xfId="0" applyNumberFormat="1" applyBorder="1" applyAlignment="1">
      <alignment horizontal="center"/>
    </xf>
    <xf numFmtId="2" fontId="0" fillId="0" borderId="2" xfId="0" applyNumberFormat="1" applyBorder="1" applyAlignment="1">
      <alignment horizontal="center"/>
    </xf>
    <xf numFmtId="0" fontId="3" fillId="7" borderId="9" xfId="0" applyFont="1" applyFill="1" applyBorder="1" applyAlignment="1">
      <alignment horizontal="center" vertical="center"/>
    </xf>
    <xf numFmtId="2" fontId="0" fillId="0" borderId="15" xfId="0" applyNumberFormat="1" applyBorder="1" applyAlignment="1">
      <alignment horizontal="center"/>
    </xf>
    <xf numFmtId="0" fontId="3" fillId="7" borderId="9" xfId="0" applyFont="1" applyFill="1" applyBorder="1"/>
    <xf numFmtId="0" fontId="3" fillId="7" borderId="12" xfId="0" applyFont="1" applyFill="1" applyBorder="1"/>
    <xf numFmtId="0" fontId="3" fillId="7" borderId="12" xfId="0" applyFont="1" applyFill="1" applyBorder="1" applyAlignment="1">
      <alignment horizontal="center" vertical="center"/>
    </xf>
    <xf numFmtId="0" fontId="3" fillId="7" borderId="12" xfId="0" applyFont="1" applyFill="1" applyBorder="1" applyAlignment="1">
      <alignment horizontal="left" vertical="center" wrapText="1"/>
    </xf>
    <xf numFmtId="0" fontId="3" fillId="7" borderId="12" xfId="0" applyFont="1" applyFill="1" applyBorder="1" applyAlignment="1">
      <alignment wrapText="1"/>
    </xf>
    <xf numFmtId="0" fontId="3" fillId="7" borderId="4" xfId="0" applyFont="1" applyFill="1" applyBorder="1" applyAlignment="1">
      <alignment horizontal="left" vertical="center" wrapText="1"/>
    </xf>
    <xf numFmtId="0" fontId="10" fillId="6" borderId="0" xfId="0" applyFont="1" applyFill="1" applyAlignment="1">
      <alignment horizontal="left" vertical="center" wrapText="1"/>
    </xf>
    <xf numFmtId="0" fontId="17" fillId="9" borderId="0" xfId="0" applyFont="1" applyFill="1"/>
    <xf numFmtId="0" fontId="0" fillId="9" borderId="0" xfId="0" applyFill="1" applyAlignment="1">
      <alignment horizontal="center"/>
    </xf>
    <xf numFmtId="0" fontId="0" fillId="9" borderId="0" xfId="0" applyFill="1" applyAlignment="1">
      <alignment horizontal="left"/>
    </xf>
    <xf numFmtId="164" fontId="0" fillId="9" borderId="0" xfId="0" applyNumberFormat="1" applyFill="1" applyAlignment="1">
      <alignment horizontal="center"/>
    </xf>
    <xf numFmtId="0" fontId="0" fillId="9" borderId="0" xfId="0" applyFill="1"/>
    <xf numFmtId="0" fontId="2" fillId="9" borderId="11" xfId="0" applyFont="1" applyFill="1" applyBorder="1"/>
    <xf numFmtId="0" fontId="2" fillId="0" borderId="0" xfId="0" applyFont="1"/>
    <xf numFmtId="0" fontId="2" fillId="9" borderId="13" xfId="0" applyFont="1" applyFill="1" applyBorder="1"/>
    <xf numFmtId="0" fontId="2" fillId="9" borderId="0" xfId="0" applyFont="1" applyFill="1"/>
    <xf numFmtId="0" fontId="0" fillId="0" borderId="0" xfId="0" quotePrefix="1" applyAlignment="1">
      <alignment horizontal="center"/>
    </xf>
    <xf numFmtId="0" fontId="2" fillId="0" borderId="0" xfId="0" applyFont="1" applyAlignment="1">
      <alignment horizontal="left"/>
    </xf>
    <xf numFmtId="49" fontId="2" fillId="0" borderId="0" xfId="0" applyNumberFormat="1" applyFont="1"/>
    <xf numFmtId="49" fontId="16" fillId="0" borderId="0" xfId="0" applyNumberFormat="1" applyFont="1" applyAlignment="1">
      <alignment vertical="center"/>
    </xf>
    <xf numFmtId="49" fontId="2" fillId="0" borderId="0" xfId="0" applyNumberFormat="1" applyFont="1" applyAlignment="1">
      <alignment vertical="center" wrapText="1"/>
    </xf>
    <xf numFmtId="0" fontId="17" fillId="0" borderId="0" xfId="0" applyFont="1"/>
    <xf numFmtId="0" fontId="7" fillId="2" borderId="1" xfId="0" applyFont="1" applyFill="1" applyBorder="1" applyAlignment="1" applyProtection="1">
      <alignment horizontal="center"/>
      <protection locked="0"/>
    </xf>
    <xf numFmtId="174" fontId="0" fillId="0" borderId="0" xfId="0" applyNumberFormat="1" applyProtection="1">
      <protection locked="0"/>
    </xf>
    <xf numFmtId="175" fontId="0" fillId="0" borderId="0" xfId="0" applyNumberFormat="1" applyProtection="1">
      <protection locked="0"/>
    </xf>
    <xf numFmtId="175" fontId="0" fillId="0" borderId="0" xfId="0" applyNumberFormat="1" applyAlignment="1" applyProtection="1">
      <alignment vertical="center"/>
      <protection locked="0"/>
    </xf>
    <xf numFmtId="4" fontId="32" fillId="10" borderId="44" xfId="0" applyNumberFormat="1" applyFont="1" applyFill="1" applyBorder="1" applyAlignment="1">
      <alignment horizontal="center" vertical="center"/>
    </xf>
    <xf numFmtId="178" fontId="0" fillId="0" borderId="0" xfId="0" applyNumberFormat="1" applyProtection="1">
      <protection locked="0"/>
    </xf>
    <xf numFmtId="0" fontId="2" fillId="10" borderId="32" xfId="0" applyFont="1" applyFill="1" applyBorder="1"/>
    <xf numFmtId="0" fontId="2" fillId="10" borderId="31" xfId="0" applyFont="1" applyFill="1" applyBorder="1"/>
    <xf numFmtId="0" fontId="18" fillId="10" borderId="33" xfId="0" applyFont="1" applyFill="1" applyBorder="1" applyAlignment="1">
      <alignment horizontal="right"/>
    </xf>
    <xf numFmtId="0" fontId="18" fillId="16" borderId="0" xfId="0" applyFont="1" applyFill="1" applyAlignment="1">
      <alignment horizontal="center"/>
    </xf>
    <xf numFmtId="0" fontId="0" fillId="17" borderId="1" xfId="0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4" fontId="0" fillId="0" borderId="1" xfId="0" applyNumberFormat="1" applyBorder="1" applyAlignment="1" applyProtection="1">
      <alignment horizontal="center" vertical="center"/>
      <protection locked="0"/>
    </xf>
    <xf numFmtId="4" fontId="39" fillId="16" borderId="0" xfId="0" applyNumberFormat="1" applyFont="1" applyFill="1"/>
    <xf numFmtId="4" fontId="38" fillId="17" borderId="0" xfId="0" applyNumberFormat="1" applyFont="1" applyFill="1"/>
    <xf numFmtId="4" fontId="40" fillId="11" borderId="38" xfId="0" applyNumberFormat="1" applyFont="1" applyFill="1" applyBorder="1" applyAlignment="1">
      <alignment horizontal="center"/>
    </xf>
    <xf numFmtId="4" fontId="40" fillId="11" borderId="41" xfId="0" applyNumberFormat="1" applyFont="1" applyFill="1" applyBorder="1" applyAlignment="1">
      <alignment horizontal="center"/>
    </xf>
    <xf numFmtId="4" fontId="0" fillId="0" borderId="0" xfId="0" applyNumberFormat="1"/>
    <xf numFmtId="2" fontId="0" fillId="0" borderId="1" xfId="0" applyNumberFormat="1" applyBorder="1" applyAlignment="1" applyProtection="1">
      <alignment horizontal="center" vertical="center"/>
      <protection locked="0"/>
    </xf>
    <xf numFmtId="181" fontId="37" fillId="17" borderId="0" xfId="0" applyNumberFormat="1" applyFont="1" applyFill="1"/>
    <xf numFmtId="4" fontId="0" fillId="18" borderId="0" xfId="0" applyNumberFormat="1" applyFill="1" applyProtection="1">
      <protection locked="0"/>
    </xf>
    <xf numFmtId="4" fontId="30" fillId="0" borderId="65" xfId="0" applyNumberFormat="1" applyFont="1" applyBorder="1" applyAlignment="1" applyProtection="1">
      <alignment horizontal="center" vertical="center"/>
      <protection locked="0"/>
    </xf>
    <xf numFmtId="4" fontId="30" fillId="0" borderId="64" xfId="0" applyNumberFormat="1" applyFont="1" applyBorder="1" applyAlignment="1" applyProtection="1">
      <alignment horizontal="center"/>
      <protection locked="0"/>
    </xf>
    <xf numFmtId="0" fontId="3" fillId="2" borderId="0" xfId="0" applyFont="1" applyFill="1" applyAlignment="1">
      <alignment horizontal="center"/>
    </xf>
    <xf numFmtId="164" fontId="3" fillId="2" borderId="12" xfId="0" applyNumberFormat="1" applyFont="1" applyFill="1" applyBorder="1" applyAlignment="1">
      <alignment horizontal="center" vertical="center"/>
    </xf>
    <xf numFmtId="164" fontId="3" fillId="2" borderId="0" xfId="0" applyNumberFormat="1" applyFont="1" applyFill="1" applyAlignment="1">
      <alignment horizontal="center" vertical="center"/>
    </xf>
    <xf numFmtId="0" fontId="3" fillId="7" borderId="4" xfId="0" applyFont="1" applyFill="1" applyBorder="1" applyAlignment="1">
      <alignment horizontal="center"/>
    </xf>
    <xf numFmtId="164" fontId="3" fillId="7" borderId="4" xfId="0" applyNumberFormat="1" applyFont="1" applyFill="1" applyBorder="1" applyAlignment="1">
      <alignment horizontal="center" vertical="center"/>
    </xf>
    <xf numFmtId="2" fontId="3" fillId="7" borderId="0" xfId="0" applyNumberFormat="1" applyFont="1" applyFill="1" applyAlignment="1">
      <alignment horizontal="center" wrapText="1"/>
    </xf>
    <xf numFmtId="0" fontId="0" fillId="7" borderId="0" xfId="0" applyFill="1" applyAlignment="1">
      <alignment horizontal="center" vertical="center" wrapText="1"/>
    </xf>
    <xf numFmtId="0" fontId="0" fillId="7" borderId="4" xfId="0" applyFill="1" applyBorder="1" applyAlignment="1">
      <alignment horizontal="center" vertical="center" wrapText="1"/>
    </xf>
    <xf numFmtId="164" fontId="3" fillId="7" borderId="12" xfId="0" applyNumberFormat="1" applyFont="1" applyFill="1" applyBorder="1" applyAlignment="1">
      <alignment horizontal="center" vertical="center"/>
    </xf>
    <xf numFmtId="175" fontId="3" fillId="7" borderId="4" xfId="0" applyNumberFormat="1" applyFont="1" applyFill="1" applyBorder="1" applyAlignment="1">
      <alignment horizontal="center" vertical="center"/>
    </xf>
    <xf numFmtId="0" fontId="41" fillId="11" borderId="34" xfId="2" applyFont="1" applyFill="1" applyBorder="1" applyAlignment="1" applyProtection="1">
      <alignment vertical="center"/>
      <protection locked="0"/>
    </xf>
    <xf numFmtId="0" fontId="42" fillId="11" borderId="35" xfId="0" applyFont="1" applyFill="1" applyBorder="1" applyAlignment="1" applyProtection="1">
      <alignment vertical="center"/>
      <protection locked="0"/>
    </xf>
    <xf numFmtId="0" fontId="41" fillId="11" borderId="18" xfId="2" applyFont="1" applyFill="1" applyBorder="1" applyProtection="1">
      <protection locked="0"/>
    </xf>
    <xf numFmtId="0" fontId="41" fillId="11" borderId="36" xfId="2" applyFont="1" applyFill="1" applyBorder="1" applyAlignment="1" applyProtection="1">
      <alignment horizontal="right" vertical="center"/>
      <protection locked="0"/>
    </xf>
    <xf numFmtId="172" fontId="3" fillId="2" borderId="5" xfId="0" applyNumberFormat="1" applyFont="1" applyFill="1" applyBorder="1" applyAlignment="1">
      <alignment horizontal="center" vertical="center"/>
    </xf>
    <xf numFmtId="172" fontId="3" fillId="2" borderId="10" xfId="0" applyNumberFormat="1" applyFont="1" applyFill="1" applyBorder="1" applyAlignment="1">
      <alignment horizontal="center" vertical="center"/>
    </xf>
    <xf numFmtId="2" fontId="0" fillId="0" borderId="0" xfId="0" applyNumberFormat="1" applyProtection="1">
      <protection locked="0"/>
    </xf>
    <xf numFmtId="2" fontId="0" fillId="0" borderId="0" xfId="0" applyNumberFormat="1"/>
    <xf numFmtId="182" fontId="7" fillId="0" borderId="0" xfId="8" applyNumberFormat="1" applyFont="1" applyAlignment="1">
      <alignment horizontal="center"/>
    </xf>
    <xf numFmtId="0" fontId="43" fillId="0" borderId="0" xfId="8" applyAlignment="1">
      <alignment horizontal="center"/>
    </xf>
    <xf numFmtId="173" fontId="43" fillId="0" borderId="0" xfId="8" applyNumberFormat="1" applyAlignment="1">
      <alignment horizontal="center"/>
    </xf>
    <xf numFmtId="0" fontId="19" fillId="0" borderId="0" xfId="0" applyFont="1" applyAlignment="1">
      <alignment horizontal="center" vertical="center" wrapText="1"/>
    </xf>
    <xf numFmtId="0" fontId="19" fillId="0" borderId="16" xfId="0" applyFont="1" applyBorder="1" applyAlignment="1">
      <alignment horizontal="center" vertical="center" wrapText="1"/>
    </xf>
    <xf numFmtId="0" fontId="0" fillId="11" borderId="30" xfId="0" applyFill="1" applyBorder="1" applyAlignment="1">
      <alignment horizontal="left"/>
    </xf>
    <xf numFmtId="0" fontId="0" fillId="11" borderId="57" xfId="0" applyFill="1" applyBorder="1" applyAlignment="1">
      <alignment horizontal="left"/>
    </xf>
    <xf numFmtId="0" fontId="0" fillId="11" borderId="29" xfId="0" applyFill="1" applyBorder="1" applyAlignment="1">
      <alignment horizontal="left"/>
    </xf>
    <xf numFmtId="0" fontId="0" fillId="11" borderId="58" xfId="0" applyFill="1" applyBorder="1" applyAlignment="1">
      <alignment horizontal="left"/>
    </xf>
    <xf numFmtId="0" fontId="31" fillId="10" borderId="30" xfId="0" applyFont="1" applyFill="1" applyBorder="1" applyAlignment="1">
      <alignment horizontal="center" vertical="center"/>
    </xf>
    <xf numFmtId="0" fontId="31" fillId="10" borderId="59" xfId="0" applyFont="1" applyFill="1" applyBorder="1" applyAlignment="1">
      <alignment horizontal="center" vertical="center"/>
    </xf>
    <xf numFmtId="0" fontId="31" fillId="10" borderId="42" xfId="0" applyFont="1" applyFill="1" applyBorder="1" applyAlignment="1">
      <alignment horizontal="center" vertical="center"/>
    </xf>
    <xf numFmtId="0" fontId="31" fillId="10" borderId="46" xfId="0" applyFont="1" applyFill="1" applyBorder="1" applyAlignment="1">
      <alignment horizontal="center" vertical="center"/>
    </xf>
    <xf numFmtId="0" fontId="2" fillId="10" borderId="32" xfId="0" applyFont="1" applyFill="1" applyBorder="1" applyAlignment="1">
      <alignment horizontal="center"/>
    </xf>
    <xf numFmtId="0" fontId="2" fillId="10" borderId="50" xfId="0" applyFont="1" applyFill="1" applyBorder="1" applyAlignment="1">
      <alignment horizontal="center"/>
    </xf>
    <xf numFmtId="0" fontId="2" fillId="3" borderId="19" xfId="0" applyFont="1" applyFill="1" applyBorder="1" applyAlignment="1">
      <alignment horizontal="center"/>
    </xf>
    <xf numFmtId="0" fontId="2" fillId="10" borderId="51" xfId="0" applyFont="1" applyFill="1" applyBorder="1" applyAlignment="1">
      <alignment horizontal="center"/>
    </xf>
    <xf numFmtId="0" fontId="2" fillId="10" borderId="52" xfId="0" applyFont="1" applyFill="1" applyBorder="1" applyAlignment="1">
      <alignment horizontal="center"/>
    </xf>
    <xf numFmtId="0" fontId="2" fillId="10" borderId="26" xfId="0" applyFont="1" applyFill="1" applyBorder="1" applyAlignment="1">
      <alignment horizontal="center"/>
    </xf>
    <xf numFmtId="0" fontId="2" fillId="10" borderId="27" xfId="0" applyFont="1" applyFill="1" applyBorder="1" applyAlignment="1">
      <alignment horizontal="center"/>
    </xf>
    <xf numFmtId="0" fontId="2" fillId="10" borderId="28" xfId="0" applyFont="1" applyFill="1" applyBorder="1" applyAlignment="1">
      <alignment horizontal="center"/>
    </xf>
    <xf numFmtId="0" fontId="2" fillId="10" borderId="42" xfId="0" applyFont="1" applyFill="1" applyBorder="1" applyAlignment="1">
      <alignment horizontal="center"/>
    </xf>
    <xf numFmtId="0" fontId="2" fillId="10" borderId="43" xfId="0" applyFont="1" applyFill="1" applyBorder="1" applyAlignment="1">
      <alignment horizontal="center"/>
    </xf>
    <xf numFmtId="0" fontId="2" fillId="10" borderId="44" xfId="0" applyFont="1" applyFill="1" applyBorder="1" applyAlignment="1">
      <alignment horizontal="center"/>
    </xf>
    <xf numFmtId="0" fontId="20" fillId="11" borderId="32" xfId="2" applyFill="1" applyBorder="1" applyAlignment="1" applyProtection="1">
      <alignment horizontal="center" vertical="center" wrapText="1"/>
      <protection locked="0"/>
    </xf>
    <xf numFmtId="0" fontId="20" fillId="11" borderId="31" xfId="2" applyFill="1" applyBorder="1" applyAlignment="1" applyProtection="1">
      <alignment horizontal="center" vertical="center" wrapText="1"/>
      <protection locked="0"/>
    </xf>
    <xf numFmtId="0" fontId="20" fillId="11" borderId="55" xfId="2" applyFill="1" applyBorder="1" applyAlignment="1" applyProtection="1">
      <alignment horizontal="center" vertical="center" wrapText="1"/>
      <protection locked="0"/>
    </xf>
    <xf numFmtId="0" fontId="20" fillId="11" borderId="0" xfId="2" applyFill="1" applyBorder="1" applyAlignment="1" applyProtection="1">
      <alignment horizontal="center" vertical="center" wrapText="1"/>
      <protection locked="0"/>
    </xf>
    <xf numFmtId="0" fontId="20" fillId="11" borderId="56" xfId="2" applyFill="1" applyBorder="1" applyAlignment="1" applyProtection="1">
      <alignment horizontal="center" vertical="center" wrapText="1"/>
      <protection locked="0"/>
    </xf>
    <xf numFmtId="0" fontId="0" fillId="11" borderId="53" xfId="0" applyFill="1" applyBorder="1" applyAlignment="1">
      <alignment horizontal="center" vertical="center" wrapText="1"/>
    </xf>
    <xf numFmtId="0" fontId="0" fillId="11" borderId="19" xfId="0" applyFill="1" applyBorder="1" applyAlignment="1">
      <alignment horizontal="center" vertical="center" wrapText="1"/>
    </xf>
    <xf numFmtId="0" fontId="0" fillId="11" borderId="54" xfId="0" applyFill="1" applyBorder="1" applyAlignment="1">
      <alignment horizontal="center" vertical="center" wrapText="1"/>
    </xf>
    <xf numFmtId="0" fontId="0" fillId="11" borderId="55" xfId="0" applyFill="1" applyBorder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1" borderId="56" xfId="0" applyFill="1" applyBorder="1" applyAlignment="1">
      <alignment horizontal="center" vertical="center" wrapText="1"/>
    </xf>
    <xf numFmtId="0" fontId="18" fillId="10" borderId="43" xfId="0" applyFont="1" applyFill="1" applyBorder="1" applyAlignment="1">
      <alignment horizontal="center"/>
    </xf>
    <xf numFmtId="0" fontId="18" fillId="10" borderId="44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0" fontId="2" fillId="15" borderId="0" xfId="0" applyFont="1" applyFill="1" applyAlignment="1">
      <alignment horizontal="center"/>
    </xf>
    <xf numFmtId="2" fontId="3" fillId="7" borderId="0" xfId="0" applyNumberFormat="1" applyFont="1" applyFill="1" applyAlignment="1">
      <alignment horizontal="center" vertical="center" wrapText="1"/>
    </xf>
    <xf numFmtId="0" fontId="3" fillId="15" borderId="4" xfId="0" applyFont="1" applyFill="1" applyBorder="1" applyAlignment="1">
      <alignment horizontal="center" vertical="center"/>
    </xf>
    <xf numFmtId="0" fontId="3" fillId="15" borderId="0" xfId="0" applyFont="1" applyFill="1" applyAlignment="1">
      <alignment horizontal="center" vertical="center"/>
    </xf>
    <xf numFmtId="0" fontId="3" fillId="15" borderId="9" xfId="0" applyFont="1" applyFill="1" applyBorder="1" applyAlignment="1">
      <alignment horizontal="center" vertical="center"/>
    </xf>
    <xf numFmtId="0" fontId="3" fillId="7" borderId="4" xfId="0" applyFont="1" applyFill="1" applyBorder="1" applyAlignment="1">
      <alignment horizontal="center" vertical="center"/>
    </xf>
    <xf numFmtId="0" fontId="3" fillId="7" borderId="0" xfId="0" applyFont="1" applyFill="1" applyAlignment="1">
      <alignment horizontal="center" vertical="center"/>
    </xf>
    <xf numFmtId="0" fontId="3" fillId="7" borderId="9" xfId="0" applyFont="1" applyFill="1" applyBorder="1" applyAlignment="1">
      <alignment horizontal="center" vertical="center"/>
    </xf>
    <xf numFmtId="0" fontId="16" fillId="7" borderId="0" xfId="0" applyFont="1" applyFill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15" borderId="4" xfId="0" applyFont="1" applyFill="1" applyBorder="1" applyAlignment="1">
      <alignment horizontal="center" vertical="center" wrapText="1"/>
    </xf>
    <xf numFmtId="0" fontId="3" fillId="15" borderId="0" xfId="0" applyFont="1" applyFill="1" applyAlignment="1">
      <alignment horizontal="center" vertical="center" wrapText="1"/>
    </xf>
    <xf numFmtId="0" fontId="3" fillId="15" borderId="9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15" borderId="3" xfId="0" applyFont="1" applyFill="1" applyBorder="1" applyAlignment="1">
      <alignment horizontal="center" vertical="center" wrapText="1"/>
    </xf>
    <xf numFmtId="0" fontId="3" fillId="15" borderId="8" xfId="0" applyFont="1" applyFill="1" applyBorder="1" applyAlignment="1">
      <alignment horizontal="center" vertical="center" wrapText="1"/>
    </xf>
    <xf numFmtId="0" fontId="3" fillId="15" borderId="4" xfId="0" applyFont="1" applyFill="1" applyBorder="1" applyAlignment="1">
      <alignment horizontal="center" wrapText="1"/>
    </xf>
    <xf numFmtId="0" fontId="3" fillId="15" borderId="0" xfId="0" applyFont="1" applyFill="1" applyAlignment="1">
      <alignment horizontal="center" wrapText="1"/>
    </xf>
    <xf numFmtId="0" fontId="3" fillId="0" borderId="7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2" borderId="3" xfId="0" applyFont="1" applyFill="1" applyBorder="1" applyAlignment="1">
      <alignment horizontal="center" wrapText="1"/>
    </xf>
    <xf numFmtId="0" fontId="3" fillId="2" borderId="6" xfId="0" applyFont="1" applyFill="1" applyBorder="1" applyAlignment="1">
      <alignment horizontal="center" wrapText="1"/>
    </xf>
    <xf numFmtId="0" fontId="3" fillId="0" borderId="4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2" fillId="9" borderId="11" xfId="0" applyFont="1" applyFill="1" applyBorder="1" applyAlignment="1">
      <alignment horizontal="center"/>
    </xf>
    <xf numFmtId="0" fontId="2" fillId="9" borderId="12" xfId="0" applyFont="1" applyFill="1" applyBorder="1" applyAlignment="1">
      <alignment horizontal="center"/>
    </xf>
    <xf numFmtId="0" fontId="2" fillId="9" borderId="13" xfId="0" applyFont="1" applyFill="1" applyBorder="1" applyAlignment="1">
      <alignment horizontal="center"/>
    </xf>
    <xf numFmtId="0" fontId="2" fillId="4" borderId="0" xfId="0" applyFont="1" applyFill="1" applyAlignment="1">
      <alignment horizontal="center"/>
    </xf>
    <xf numFmtId="0" fontId="3" fillId="7" borderId="4" xfId="0" applyFont="1" applyFill="1" applyBorder="1" applyAlignment="1">
      <alignment horizontal="center" vertical="center" wrapText="1"/>
    </xf>
    <xf numFmtId="0" fontId="3" fillId="7" borderId="0" xfId="0" applyFont="1" applyFill="1" applyAlignment="1">
      <alignment horizontal="center" vertical="center" wrapText="1"/>
    </xf>
    <xf numFmtId="0" fontId="27" fillId="0" borderId="0" xfId="3" applyFont="1" applyAlignment="1" applyProtection="1">
      <alignment horizontal="center" vertical="center" wrapText="1"/>
      <protection locked="0"/>
    </xf>
    <xf numFmtId="4" fontId="26" fillId="0" borderId="0" xfId="7" applyNumberFormat="1" applyFont="1" applyFill="1" applyBorder="1" applyAlignment="1" applyProtection="1">
      <alignment horizontal="center" vertical="center"/>
      <protection locked="0"/>
    </xf>
    <xf numFmtId="4" fontId="26" fillId="0" borderId="0" xfId="6" applyNumberFormat="1" applyFont="1" applyFill="1" applyBorder="1" applyAlignment="1" applyProtection="1">
      <alignment horizontal="center" vertical="center"/>
      <protection locked="0"/>
    </xf>
    <xf numFmtId="0" fontId="3" fillId="7" borderId="9" xfId="0" applyFont="1" applyFill="1" applyBorder="1" applyAlignment="1">
      <alignment horizontal="center" vertical="center" wrapText="1"/>
    </xf>
    <xf numFmtId="175" fontId="37" fillId="17" borderId="0" xfId="0" applyNumberFormat="1" applyFont="1" applyFill="1" applyProtection="1"/>
  </cellXfs>
  <cellStyles count="9">
    <cellStyle name="Hiperlink" xfId="2" builtinId="8"/>
    <cellStyle name="Moeda" xfId="1" builtinId="4"/>
    <cellStyle name="Moeda 2" xfId="5" xr:uid="{00000000-0005-0000-0000-000002000000}"/>
    <cellStyle name="Moeda 3" xfId="4" xr:uid="{00000000-0005-0000-0000-000003000000}"/>
    <cellStyle name="Normal" xfId="0" builtinId="0"/>
    <cellStyle name="Normal 2" xfId="3" xr:uid="{00000000-0005-0000-0000-000005000000}"/>
    <cellStyle name="Normal 4" xfId="8" xr:uid="{00000000-0005-0000-0000-000006000000}"/>
    <cellStyle name="Separador de milhares 2" xfId="6" xr:uid="{00000000-0005-0000-0000-000007000000}"/>
    <cellStyle name="Vírgula 2" xfId="7" xr:uid="{00000000-0005-0000-0000-000008000000}"/>
  </cellStyles>
  <dxfs count="0"/>
  <tableStyles count="0" defaultTableStyle="TableStyleMedium2" defaultPivotStyle="PivotStyleLight16"/>
  <colors>
    <mruColors>
      <color rgb="FFFFFF66"/>
      <color rgb="FFCC99FF"/>
      <color rgb="FF99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Drop" dropLines="6" dropStyle="combo" dx="26" fmlaLink="referencias!$J$12" fmlaRange="referencias!$D$10:$D$15" noThreeD="1" sel="1" val="0"/>
</file>

<file path=xl/ctrlProps/ctrlProp2.xml><?xml version="1.0" encoding="utf-8"?>
<formControlPr xmlns="http://schemas.microsoft.com/office/spreadsheetml/2009/9/main" objectType="Drop" dropLines="4" dropStyle="combo" dx="26" fmlaLink="referencias!$J$30" fmlaRange="referencias!$D$29:$D$32" noThreeD="1" sel="1" val="0"/>
</file>

<file path=xl/ctrlProps/ctrlProp3.xml><?xml version="1.0" encoding="utf-8"?>
<formControlPr xmlns="http://schemas.microsoft.com/office/spreadsheetml/2009/9/main" objectType="Drop" dropLines="2" dropStyle="combo" dx="26" fmlaLink="referencias!$J$38" fmlaRange="referencias!$D$38:$D$39" noThreeD="1" sel="2" val="0"/>
</file>

<file path=xl/ctrlProps/ctrlProp4.xml><?xml version="1.0" encoding="utf-8"?>
<formControlPr xmlns="http://schemas.microsoft.com/office/spreadsheetml/2009/9/main" objectType="Drop" dropLines="3" dropStyle="combo" dx="26" fmlaLink="referencias!$J$24" fmlaRange="referencias!$D$23:$D$25" noThreeD="1" sel="1" val="0"/>
</file>

<file path=xl/ctrlProps/ctrlProp5.xml><?xml version="1.0" encoding="utf-8"?>
<formControlPr xmlns="http://schemas.microsoft.com/office/spreadsheetml/2009/9/main" objectType="Drop" dropLines="4" dropStyle="combo" dx="26" fmlaLink="referencias!$J$88" fmlaRange="referencias!$D$87:$D$90" noThreeD="1" sel="1" val="0"/>
</file>

<file path=xl/ctrlProps/ctrlProp6.xml><?xml version="1.0" encoding="utf-8"?>
<formControlPr xmlns="http://schemas.microsoft.com/office/spreadsheetml/2009/9/main" objectType="Drop" dropLines="4" dropStyle="combo" dx="26" fmlaLink="referencias!$J$99" fmlaRange="referencias!$D$98:$D$101" noThreeD="1" sel="1" val="0"/>
</file>

<file path=xl/ctrlProps/ctrlProp7.xml><?xml version="1.0" encoding="utf-8"?>
<formControlPr xmlns="http://schemas.microsoft.com/office/spreadsheetml/2009/9/main" objectType="Drop" dropLines="3" dropStyle="combo" dx="26" fmlaLink="referencias!$J$8" fmlaRange="referencias!$D$7:$D$9" noThreeD="1" sel="1" val="0"/>
</file>

<file path=xl/ctrlProps/ctrlProp8.xml><?xml version="1.0" encoding="utf-8"?>
<formControlPr xmlns="http://schemas.microsoft.com/office/spreadsheetml/2009/9/main" objectType="Drop" dropLines="2" dropStyle="combo" dx="26" fmlaLink="referencias!$J$109" fmlaRange="referencias!$D$109:$D$110" noThreeD="1" sel="2" val="0"/>
</file>

<file path=xl/ctrlProps/ctrlProp9.xml><?xml version="1.0" encoding="utf-8"?>
<formControlPr xmlns="http://schemas.microsoft.com/office/spreadsheetml/2009/9/main" objectType="Drop" dropLines="6" dropStyle="combo" dx="26" fmlaLink="referencias!$J$17" fmlaRange="referencias!$D$16:$D$21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341108</xdr:colOff>
      <xdr:row>0</xdr:row>
      <xdr:rowOff>0</xdr:rowOff>
    </xdr:from>
    <xdr:to>
      <xdr:col>3</xdr:col>
      <xdr:colOff>200422</xdr:colOff>
      <xdr:row>2</xdr:row>
      <xdr:rowOff>168319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-23404" r="-4167" b="-12766"/>
        <a:stretch>
          <a:fillRect/>
        </a:stretch>
      </xdr:blipFill>
      <xdr:spPr bwMode="auto">
        <a:xfrm>
          <a:off x="5002755" y="0"/>
          <a:ext cx="1410208" cy="526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8069</xdr:colOff>
      <xdr:row>0</xdr:row>
      <xdr:rowOff>17930</xdr:rowOff>
    </xdr:from>
    <xdr:to>
      <xdr:col>4</xdr:col>
      <xdr:colOff>421343</xdr:colOff>
      <xdr:row>2</xdr:row>
      <xdr:rowOff>161366</xdr:rowOff>
    </xdr:to>
    <xdr:pic>
      <xdr:nvPicPr>
        <xdr:cNvPr id="3" name="Imagem 2" descr="log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027434" y="17930"/>
          <a:ext cx="413274" cy="502024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4</xdr:col>
      <xdr:colOff>1371600</xdr:colOff>
      <xdr:row>0</xdr:row>
      <xdr:rowOff>8965</xdr:rowOff>
    </xdr:from>
    <xdr:to>
      <xdr:col>5</xdr:col>
      <xdr:colOff>421342</xdr:colOff>
      <xdr:row>2</xdr:row>
      <xdr:rowOff>170330</xdr:rowOff>
    </xdr:to>
    <xdr:pic>
      <xdr:nvPicPr>
        <xdr:cNvPr id="5" name="Imagem 4" descr="logo_fehidro03_0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853082" y="8965"/>
          <a:ext cx="475130" cy="5199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7</xdr:row>
          <xdr:rowOff>0</xdr:rowOff>
        </xdr:from>
        <xdr:to>
          <xdr:col>3</xdr:col>
          <xdr:colOff>0</xdr:colOff>
          <xdr:row>8</xdr:row>
          <xdr:rowOff>0</xdr:rowOff>
        </xdr:to>
        <xdr:sp macro="" textlink="">
          <xdr:nvSpPr>
            <xdr:cNvPr id="3074" name="Drop Down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0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14</xdr:row>
          <xdr:rowOff>19050</xdr:rowOff>
        </xdr:from>
        <xdr:to>
          <xdr:col>3</xdr:col>
          <xdr:colOff>0</xdr:colOff>
          <xdr:row>15</xdr:row>
          <xdr:rowOff>19050</xdr:rowOff>
        </xdr:to>
        <xdr:sp macro="" textlink="">
          <xdr:nvSpPr>
            <xdr:cNvPr id="3076" name="Drop Down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0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15</xdr:row>
          <xdr:rowOff>19050</xdr:rowOff>
        </xdr:from>
        <xdr:to>
          <xdr:col>3</xdr:col>
          <xdr:colOff>0</xdr:colOff>
          <xdr:row>16</xdr:row>
          <xdr:rowOff>19050</xdr:rowOff>
        </xdr:to>
        <xdr:sp macro="" textlink="">
          <xdr:nvSpPr>
            <xdr:cNvPr id="3078" name="Drop Down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0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9</xdr:row>
          <xdr:rowOff>0</xdr:rowOff>
        </xdr:from>
        <xdr:to>
          <xdr:col>3</xdr:col>
          <xdr:colOff>0</xdr:colOff>
          <xdr:row>10</xdr:row>
          <xdr:rowOff>0</xdr:rowOff>
        </xdr:to>
        <xdr:sp macro="" textlink="">
          <xdr:nvSpPr>
            <xdr:cNvPr id="3079" name="Drop Down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0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17</xdr:row>
          <xdr:rowOff>171450</xdr:rowOff>
        </xdr:from>
        <xdr:to>
          <xdr:col>3</xdr:col>
          <xdr:colOff>0</xdr:colOff>
          <xdr:row>18</xdr:row>
          <xdr:rowOff>180975</xdr:rowOff>
        </xdr:to>
        <xdr:sp macro="" textlink="">
          <xdr:nvSpPr>
            <xdr:cNvPr id="3086" name="Drop Down 14" descr="Preencher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0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20</xdr:row>
          <xdr:rowOff>9525</xdr:rowOff>
        </xdr:from>
        <xdr:to>
          <xdr:col>3</xdr:col>
          <xdr:colOff>0</xdr:colOff>
          <xdr:row>21</xdr:row>
          <xdr:rowOff>19050</xdr:rowOff>
        </xdr:to>
        <xdr:sp macro="" textlink="">
          <xdr:nvSpPr>
            <xdr:cNvPr id="3088" name="Drop Down 16" descr="Preencher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0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5</xdr:row>
          <xdr:rowOff>180975</xdr:rowOff>
        </xdr:from>
        <xdr:to>
          <xdr:col>3</xdr:col>
          <xdr:colOff>0</xdr:colOff>
          <xdr:row>7</xdr:row>
          <xdr:rowOff>0</xdr:rowOff>
        </xdr:to>
        <xdr:sp macro="" textlink="">
          <xdr:nvSpPr>
            <xdr:cNvPr id="3090" name="Drop Down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0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23</xdr:row>
          <xdr:rowOff>9525</xdr:rowOff>
        </xdr:from>
        <xdr:to>
          <xdr:col>3</xdr:col>
          <xdr:colOff>0</xdr:colOff>
          <xdr:row>24</xdr:row>
          <xdr:rowOff>0</xdr:rowOff>
        </xdr:to>
        <xdr:sp macro="" textlink="">
          <xdr:nvSpPr>
            <xdr:cNvPr id="3095" name="Drop Down 23" descr="Preencher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0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8</xdr:row>
          <xdr:rowOff>0</xdr:rowOff>
        </xdr:from>
        <xdr:to>
          <xdr:col>3</xdr:col>
          <xdr:colOff>0</xdr:colOff>
          <xdr:row>9</xdr:row>
          <xdr:rowOff>0</xdr:rowOff>
        </xdr:to>
        <xdr:sp macro="" textlink="">
          <xdr:nvSpPr>
            <xdr:cNvPr id="3075" name="Drop Down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0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6</xdr:col>
      <xdr:colOff>247649</xdr:colOff>
      <xdr:row>0</xdr:row>
      <xdr:rowOff>41677</xdr:rowOff>
    </xdr:from>
    <xdr:to>
      <xdr:col>6</xdr:col>
      <xdr:colOff>1065010</xdr:colOff>
      <xdr:row>2</xdr:row>
      <xdr:rowOff>161925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FA205FA5-C367-8F33-FC60-644A5ECAE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63099" y="41677"/>
          <a:ext cx="817361" cy="4821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137160</xdr:colOff>
      <xdr:row>28</xdr:row>
      <xdr:rowOff>130731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671560" cy="5251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114300</xdr:colOff>
      <xdr:row>28</xdr:row>
      <xdr:rowOff>116888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648700" cy="52375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.xml"/><Relationship Id="rId13" Type="http://schemas.openxmlformats.org/officeDocument/2006/relationships/ctrlProp" Target="../ctrlProps/ctrlProp8.xml"/><Relationship Id="rId3" Type="http://schemas.openxmlformats.org/officeDocument/2006/relationships/printerSettings" Target="../printerSettings/printerSettings1.bin"/><Relationship Id="rId7" Type="http://schemas.openxmlformats.org/officeDocument/2006/relationships/ctrlProp" Target="../ctrlProps/ctrlProp2.xml"/><Relationship Id="rId12" Type="http://schemas.openxmlformats.org/officeDocument/2006/relationships/ctrlProp" Target="../ctrlProps/ctrlProp7.xml"/><Relationship Id="rId2" Type="http://schemas.openxmlformats.org/officeDocument/2006/relationships/hyperlink" Target="mailto:cbh-ps@comiteps.sp.gov.br" TargetMode="External"/><Relationship Id="rId1" Type="http://schemas.openxmlformats.org/officeDocument/2006/relationships/hyperlink" Target="http://www.comiteps.sp.gov.br/" TargetMode="External"/><Relationship Id="rId6" Type="http://schemas.openxmlformats.org/officeDocument/2006/relationships/ctrlProp" Target="../ctrlProps/ctrlProp1.xml"/><Relationship Id="rId11" Type="http://schemas.openxmlformats.org/officeDocument/2006/relationships/ctrlProp" Target="../ctrlProps/ctrlProp6.xml"/><Relationship Id="rId5" Type="http://schemas.openxmlformats.org/officeDocument/2006/relationships/vmlDrawing" Target="../drawings/vmlDrawing1.vml"/><Relationship Id="rId10" Type="http://schemas.openxmlformats.org/officeDocument/2006/relationships/ctrlProp" Target="../ctrlProps/ctrlProp5.xml"/><Relationship Id="rId4" Type="http://schemas.openxmlformats.org/officeDocument/2006/relationships/drawing" Target="../drawings/drawing1.xml"/><Relationship Id="rId9" Type="http://schemas.openxmlformats.org/officeDocument/2006/relationships/ctrlProp" Target="../ctrlProps/ctrlProp4.xml"/><Relationship Id="rId14" Type="http://schemas.openxmlformats.org/officeDocument/2006/relationships/ctrlProp" Target="../ctrlProps/ctrlProp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>
    <pageSetUpPr fitToPage="1"/>
  </sheetPr>
  <dimension ref="A1:M35"/>
  <sheetViews>
    <sheetView tabSelected="1" workbookViewId="0">
      <selection activeCell="B9" sqref="B9"/>
    </sheetView>
  </sheetViews>
  <sheetFormatPr defaultRowHeight="15" x14ac:dyDescent="0.25"/>
  <cols>
    <col min="1" max="1" width="4" style="2" customWidth="1"/>
    <col min="2" max="2" width="66" customWidth="1"/>
    <col min="3" max="3" width="22.5703125" customWidth="1"/>
    <col min="4" max="4" width="11.7109375" customWidth="1"/>
    <col min="5" max="5" width="20.7109375" customWidth="1"/>
    <col min="6" max="6" width="16.7109375" customWidth="1"/>
    <col min="7" max="7" width="25" customWidth="1"/>
    <col min="8" max="10" width="13.85546875" bestFit="1" customWidth="1"/>
    <col min="11" max="11" width="13.140625" customWidth="1"/>
  </cols>
  <sheetData>
    <row r="1" spans="1:11" ht="14.45" customHeight="1" x14ac:dyDescent="0.25">
      <c r="A1" s="36"/>
      <c r="B1" s="339" t="s">
        <v>241</v>
      </c>
      <c r="C1" s="33"/>
      <c r="D1" s="34"/>
      <c r="E1" s="34"/>
      <c r="F1" s="8"/>
      <c r="G1" s="9"/>
    </row>
    <row r="2" spans="1:11" ht="14.45" customHeight="1" x14ac:dyDescent="0.25">
      <c r="A2" s="37"/>
      <c r="B2" s="339"/>
      <c r="C2" s="33"/>
      <c r="D2" s="34"/>
      <c r="E2" s="34"/>
      <c r="F2" s="8"/>
      <c r="G2" s="9"/>
    </row>
    <row r="3" spans="1:11" ht="14.45" customHeight="1" x14ac:dyDescent="0.25">
      <c r="A3" s="38"/>
      <c r="B3" s="340"/>
      <c r="C3" s="35"/>
      <c r="D3" s="34"/>
      <c r="E3" s="34"/>
      <c r="F3" s="8"/>
      <c r="G3" s="9"/>
    </row>
    <row r="4" spans="1:11" x14ac:dyDescent="0.25">
      <c r="A4" s="351" t="s">
        <v>206</v>
      </c>
      <c r="B4" s="351"/>
      <c r="C4" s="351"/>
      <c r="D4" s="351"/>
      <c r="E4" s="351"/>
      <c r="F4" s="351"/>
      <c r="G4" s="351"/>
    </row>
    <row r="5" spans="1:11" ht="15.75" thickBot="1" x14ac:dyDescent="0.3">
      <c r="A5" s="373" t="s">
        <v>273</v>
      </c>
      <c r="B5" s="373"/>
      <c r="C5" s="373"/>
      <c r="D5" s="373"/>
      <c r="E5" s="373"/>
      <c r="F5" s="373"/>
      <c r="G5" s="373"/>
    </row>
    <row r="6" spans="1:11" ht="15.75" thickBot="1" x14ac:dyDescent="0.3">
      <c r="A6" s="352" t="s">
        <v>122</v>
      </c>
      <c r="B6" s="353"/>
      <c r="C6" s="23" t="s">
        <v>219</v>
      </c>
      <c r="E6" s="354" t="s">
        <v>325</v>
      </c>
      <c r="F6" s="355"/>
      <c r="G6" s="356"/>
      <c r="H6" s="304" t="s">
        <v>321</v>
      </c>
      <c r="I6" s="304" t="s">
        <v>322</v>
      </c>
      <c r="J6" s="304" t="s">
        <v>323</v>
      </c>
      <c r="K6" s="304" t="s">
        <v>324</v>
      </c>
    </row>
    <row r="7" spans="1:11" x14ac:dyDescent="0.25">
      <c r="A7" s="30" t="s">
        <v>0</v>
      </c>
      <c r="B7" s="31" t="s">
        <v>133</v>
      </c>
      <c r="C7" s="32"/>
      <c r="E7" s="16" t="s">
        <v>136</v>
      </c>
      <c r="F7" s="44">
        <f>referencias!$E$40</f>
        <v>0.01</v>
      </c>
      <c r="G7" s="17" t="s">
        <v>130</v>
      </c>
      <c r="H7" s="426">
        <f>referencias!M6</f>
        <v>1.7000000000000001E-2</v>
      </c>
      <c r="I7" s="426">
        <f>referencias!M10</f>
        <v>2.06E-2</v>
      </c>
      <c r="J7" s="426">
        <f>referencias!M14</f>
        <v>2.41E-2</v>
      </c>
      <c r="K7" s="426">
        <f>referencias!M18</f>
        <v>2.76E-2</v>
      </c>
    </row>
    <row r="8" spans="1:11" x14ac:dyDescent="0.25">
      <c r="A8" s="10" t="s">
        <v>1</v>
      </c>
      <c r="B8" s="330" t="s">
        <v>218</v>
      </c>
      <c r="C8" s="11"/>
      <c r="E8" s="16" t="s">
        <v>137</v>
      </c>
      <c r="F8" s="44">
        <f>referencias!$E$78</f>
        <v>0.02</v>
      </c>
      <c r="G8" s="17" t="s">
        <v>131</v>
      </c>
      <c r="H8" s="426">
        <f>referencias!M7</f>
        <v>3.4099999999999998E-2</v>
      </c>
      <c r="I8" s="426">
        <f>referencias!M11</f>
        <v>4.1099999999999998E-2</v>
      </c>
      <c r="J8" s="426">
        <f>referencias!M15</f>
        <v>4.82E-2</v>
      </c>
      <c r="K8" s="426">
        <f>referencias!M19</f>
        <v>5.5199999999999999E-2</v>
      </c>
    </row>
    <row r="9" spans="1:11" ht="15.75" thickBot="1" x14ac:dyDescent="0.3">
      <c r="A9" s="10" t="s">
        <v>2</v>
      </c>
      <c r="B9" s="330" t="s">
        <v>125</v>
      </c>
      <c r="C9" s="11"/>
      <c r="E9" s="18" t="s">
        <v>138</v>
      </c>
      <c r="F9" s="45">
        <f>referencias!$E$107</f>
        <v>7.0000000000000007E-2</v>
      </c>
      <c r="G9" s="19" t="s">
        <v>132</v>
      </c>
      <c r="H9" s="426">
        <f>referencias!M8</f>
        <v>0.1193</v>
      </c>
      <c r="I9" s="426">
        <f>referencias!M12</f>
        <v>0.1439</v>
      </c>
      <c r="J9" s="426">
        <f>referencias!M16</f>
        <v>0.1686</v>
      </c>
      <c r="K9" s="426">
        <f>referencias!M20</f>
        <v>0.19320000000000001</v>
      </c>
    </row>
    <row r="10" spans="1:11" ht="15.75" thickBot="1" x14ac:dyDescent="0.3">
      <c r="A10" s="15" t="s">
        <v>3</v>
      </c>
      <c r="B10" s="7" t="s">
        <v>126</v>
      </c>
      <c r="C10" s="11"/>
      <c r="E10" s="2"/>
    </row>
    <row r="11" spans="1:11" x14ac:dyDescent="0.25">
      <c r="A11" s="16"/>
      <c r="B11" s="27" t="s">
        <v>224</v>
      </c>
      <c r="C11" s="57">
        <v>1E-3</v>
      </c>
      <c r="E11" s="357" t="s">
        <v>326</v>
      </c>
      <c r="F11" s="358"/>
      <c r="G11" s="359"/>
      <c r="H11" s="304" t="s">
        <v>321</v>
      </c>
      <c r="I11" s="304" t="s">
        <v>322</v>
      </c>
      <c r="J11" s="304" t="s">
        <v>323</v>
      </c>
      <c r="K11" s="304" t="s">
        <v>324</v>
      </c>
    </row>
    <row r="12" spans="1:11" x14ac:dyDescent="0.25">
      <c r="A12" s="16"/>
      <c r="B12" s="27" t="s">
        <v>225</v>
      </c>
      <c r="C12" s="316">
        <v>0</v>
      </c>
      <c r="E12" s="16" t="s">
        <v>139</v>
      </c>
      <c r="F12" s="46">
        <f>referencias!$K$41</f>
        <v>0</v>
      </c>
      <c r="G12" s="17" t="s">
        <v>130</v>
      </c>
      <c r="H12" s="314">
        <f>referencias!N41</f>
        <v>0</v>
      </c>
      <c r="I12" s="314">
        <f>referencias!O41</f>
        <v>0</v>
      </c>
      <c r="J12" s="314">
        <f>referencias!P41</f>
        <v>0</v>
      </c>
      <c r="K12" s="314">
        <f>referencias!Q41</f>
        <v>0</v>
      </c>
    </row>
    <row r="13" spans="1:11" x14ac:dyDescent="0.25">
      <c r="A13" s="16"/>
      <c r="B13" s="7" t="s">
        <v>230</v>
      </c>
      <c r="C13" s="317">
        <v>0</v>
      </c>
      <c r="E13" s="16" t="s">
        <v>140</v>
      </c>
      <c r="F13" s="46">
        <f>referencias!$K$79</f>
        <v>0</v>
      </c>
      <c r="G13" s="17" t="s">
        <v>131</v>
      </c>
      <c r="H13" s="314">
        <f>referencias!N80</f>
        <v>3.4099999999999998E-2</v>
      </c>
      <c r="I13" s="314">
        <f>referencias!O80</f>
        <v>4.1099999999999998E-2</v>
      </c>
      <c r="J13" s="314">
        <f>referencias!P80</f>
        <v>4.82E-2</v>
      </c>
      <c r="K13" s="314">
        <f>referencias!Q80</f>
        <v>5.5199999999999999E-2</v>
      </c>
    </row>
    <row r="14" spans="1:11" ht="15.75" thickBot="1" x14ac:dyDescent="0.3">
      <c r="A14" s="10" t="s">
        <v>4</v>
      </c>
      <c r="B14" s="7" t="s">
        <v>166</v>
      </c>
      <c r="C14" s="43">
        <v>1</v>
      </c>
      <c r="E14" s="18" t="s">
        <v>141</v>
      </c>
      <c r="F14" s="47">
        <f>referencias!$K$109</f>
        <v>0</v>
      </c>
      <c r="G14" s="19" t="s">
        <v>132</v>
      </c>
      <c r="H14" s="314">
        <f>referencias!N111</f>
        <v>0</v>
      </c>
      <c r="I14" s="314">
        <f>referencias!O111</f>
        <v>0</v>
      </c>
      <c r="J14" s="314">
        <f>referencias!P111</f>
        <v>0</v>
      </c>
      <c r="K14" s="314">
        <f>referencias!Q111</f>
        <v>0</v>
      </c>
    </row>
    <row r="15" spans="1:11" ht="15.75" thickBot="1" x14ac:dyDescent="0.3">
      <c r="A15" s="10" t="s">
        <v>5</v>
      </c>
      <c r="B15" s="7" t="s">
        <v>127</v>
      </c>
      <c r="C15" s="11"/>
    </row>
    <row r="16" spans="1:11" ht="15.75" thickBot="1" x14ac:dyDescent="0.3">
      <c r="A16" s="12" t="s">
        <v>6</v>
      </c>
      <c r="B16" s="13" t="s">
        <v>123</v>
      </c>
      <c r="C16" s="14"/>
      <c r="E16" s="41" t="s">
        <v>124</v>
      </c>
      <c r="F16" s="371" t="s">
        <v>264</v>
      </c>
      <c r="G16" s="372"/>
    </row>
    <row r="17" spans="1:13" ht="15.75" thickBot="1" x14ac:dyDescent="0.3">
      <c r="E17" s="343" t="s">
        <v>245</v>
      </c>
      <c r="F17" s="344"/>
      <c r="G17" s="48">
        <f>referencias!K80</f>
        <v>1</v>
      </c>
    </row>
    <row r="18" spans="1:13" ht="15.75" thickBot="1" x14ac:dyDescent="0.3">
      <c r="A18" s="349" t="s">
        <v>128</v>
      </c>
      <c r="B18" s="350"/>
      <c r="C18" s="23" t="s">
        <v>219</v>
      </c>
      <c r="E18" s="341" t="s">
        <v>242</v>
      </c>
      <c r="F18" s="342"/>
      <c r="G18" s="49">
        <f>referencias!K81</f>
        <v>2.0000000000000001E-4</v>
      </c>
    </row>
    <row r="19" spans="1:13" ht="15.75" thickBot="1" x14ac:dyDescent="0.3">
      <c r="A19" s="10" t="s">
        <v>7</v>
      </c>
      <c r="B19" s="7" t="s">
        <v>129</v>
      </c>
      <c r="C19" s="11"/>
      <c r="F19" s="3"/>
      <c r="G19" s="21"/>
    </row>
    <row r="20" spans="1:13" x14ac:dyDescent="0.25">
      <c r="A20" s="15" t="s">
        <v>8</v>
      </c>
      <c r="B20" s="26" t="s">
        <v>233</v>
      </c>
      <c r="C20" s="59">
        <v>0</v>
      </c>
      <c r="E20" s="301" t="s">
        <v>293</v>
      </c>
      <c r="F20" s="302"/>
      <c r="G20" s="303" t="s">
        <v>294</v>
      </c>
      <c r="H20" s="304" t="s">
        <v>321</v>
      </c>
      <c r="I20" s="304" t="s">
        <v>322</v>
      </c>
      <c r="J20" s="304" t="s">
        <v>323</v>
      </c>
      <c r="K20" s="304" t="s">
        <v>324</v>
      </c>
    </row>
    <row r="21" spans="1:13" ht="14.45" customHeight="1" x14ac:dyDescent="0.25">
      <c r="A21" s="10" t="s">
        <v>9</v>
      </c>
      <c r="B21" s="7" t="s">
        <v>127</v>
      </c>
      <c r="C21" s="11"/>
      <c r="E21" s="22" t="s">
        <v>142</v>
      </c>
      <c r="F21" s="7"/>
      <c r="G21" s="50">
        <f>referencias!K43</f>
        <v>0</v>
      </c>
      <c r="H21" s="309">
        <f>referencias!N43</f>
        <v>0</v>
      </c>
      <c r="I21" s="309">
        <f>referencias!O43</f>
        <v>0</v>
      </c>
      <c r="J21" s="309">
        <f>referencias!P43</f>
        <v>0</v>
      </c>
      <c r="K21" s="309">
        <f>referencias!Q43</f>
        <v>0</v>
      </c>
      <c r="L21" s="312"/>
      <c r="M21" s="312"/>
    </row>
    <row r="22" spans="1:13" x14ac:dyDescent="0.25">
      <c r="A22" s="52"/>
      <c r="B22" s="53" t="s">
        <v>234</v>
      </c>
      <c r="C22" s="57">
        <v>0</v>
      </c>
      <c r="E22" s="39" t="s">
        <v>143</v>
      </c>
      <c r="F22" s="26"/>
      <c r="G22" s="50">
        <f>referencias!M83</f>
        <v>0</v>
      </c>
      <c r="H22" s="309">
        <f>referencias!N84</f>
        <v>6.8199999999999999E-6</v>
      </c>
      <c r="I22" s="309">
        <f>referencias!O84</f>
        <v>8.2199999999999992E-6</v>
      </c>
      <c r="J22" s="309">
        <f>referencias!P84</f>
        <v>9.6400000000000009E-6</v>
      </c>
      <c r="K22" s="309">
        <f>referencias!Q84</f>
        <v>1.1040000000000001E-5</v>
      </c>
      <c r="L22" s="312"/>
      <c r="M22" s="312"/>
    </row>
    <row r="23" spans="1:13" x14ac:dyDescent="0.25">
      <c r="A23" s="25"/>
      <c r="B23" s="27" t="s">
        <v>274</v>
      </c>
      <c r="C23" s="58">
        <v>0</v>
      </c>
      <c r="E23" s="22" t="s">
        <v>144</v>
      </c>
      <c r="F23" s="7"/>
      <c r="G23" s="50">
        <f>referencias!K112</f>
        <v>0</v>
      </c>
      <c r="H23" s="309">
        <f>referencias!N113</f>
        <v>0</v>
      </c>
      <c r="I23" s="309">
        <f>referencias!O113</f>
        <v>0</v>
      </c>
      <c r="J23" s="309">
        <f>referencias!P113</f>
        <v>0</v>
      </c>
      <c r="K23" s="309">
        <f>referencias!Q113</f>
        <v>0</v>
      </c>
      <c r="L23" s="312"/>
      <c r="M23" s="312"/>
    </row>
    <row r="24" spans="1:13" ht="15.75" thickBot="1" x14ac:dyDescent="0.3">
      <c r="A24" s="40"/>
      <c r="B24" s="28" t="s">
        <v>275</v>
      </c>
      <c r="C24" s="55"/>
      <c r="D24" s="56"/>
      <c r="E24" s="22" t="s">
        <v>254</v>
      </c>
      <c r="F24" s="27"/>
      <c r="G24" s="50">
        <f>C31+C32+C33+C35</f>
        <v>0</v>
      </c>
      <c r="H24" s="309">
        <f>(H7*1.1*1.1*C29)+(H8*C30)+(H7*1.1*1.1*C34)+(H8*C34)</f>
        <v>0</v>
      </c>
      <c r="I24" s="309">
        <f>(I7*1.1*1.1*C29)+(I8*C30)+(I7*1.1*1.1*C34)+(I8*C34)</f>
        <v>0</v>
      </c>
      <c r="J24" s="309">
        <f>(J7*1.1*1.1*C29)+(J8*C30)+(J7*1.1*1.1*C34)+(J8*C34)</f>
        <v>0</v>
      </c>
      <c r="K24" s="309">
        <f>(K7*1.1*1.1*C29)+(K8*C30)+(K7*1.1*1.1*C34)+(K8*C34)</f>
        <v>0</v>
      </c>
      <c r="L24" s="312"/>
      <c r="M24" s="312"/>
    </row>
    <row r="25" spans="1:13" ht="15.75" thickBot="1" x14ac:dyDescent="0.3">
      <c r="C25" s="54"/>
      <c r="E25" s="29" t="s">
        <v>145</v>
      </c>
      <c r="F25" s="28"/>
      <c r="G25" s="51">
        <f>G21+G22+G23+G24</f>
        <v>0</v>
      </c>
      <c r="H25" s="309">
        <f>H21+H22+H23+H24</f>
        <v>6.8199999999999999E-6</v>
      </c>
      <c r="I25" s="309">
        <f t="shared" ref="I25:J25" si="0">I21+I22+I23+I24</f>
        <v>8.2199999999999992E-6</v>
      </c>
      <c r="J25" s="309">
        <f t="shared" si="0"/>
        <v>9.6400000000000009E-6</v>
      </c>
      <c r="K25" s="309">
        <f t="shared" ref="K25" si="1">K21+K22+K23+K24</f>
        <v>1.1040000000000001E-5</v>
      </c>
      <c r="L25" s="312"/>
      <c r="M25" s="312"/>
    </row>
    <row r="26" spans="1:13" ht="17.25" x14ac:dyDescent="0.25">
      <c r="A26" s="349" t="s">
        <v>237</v>
      </c>
      <c r="B26" s="350"/>
      <c r="C26" s="23" t="s">
        <v>219</v>
      </c>
      <c r="E26" s="347" t="s">
        <v>262</v>
      </c>
      <c r="F26" s="348"/>
      <c r="G26" s="299">
        <f>G25</f>
        <v>0</v>
      </c>
      <c r="H26" s="308">
        <f>H25</f>
        <v>6.8199999999999999E-6</v>
      </c>
      <c r="I26" s="308">
        <f t="shared" ref="I26:J26" si="2">I25</f>
        <v>8.2199999999999992E-6</v>
      </c>
      <c r="J26" s="308">
        <f t="shared" si="2"/>
        <v>9.6400000000000009E-6</v>
      </c>
      <c r="K26" s="308">
        <f t="shared" ref="K26" si="3">K25</f>
        <v>1.1040000000000001E-5</v>
      </c>
      <c r="L26" s="312"/>
      <c r="M26" s="312"/>
    </row>
    <row r="27" spans="1:13" ht="13.9" customHeight="1" thickBot="1" x14ac:dyDescent="0.3">
      <c r="A27" s="10"/>
      <c r="B27" s="7" t="s">
        <v>238</v>
      </c>
      <c r="C27" s="60">
        <v>0</v>
      </c>
      <c r="E27" s="345" t="s">
        <v>263</v>
      </c>
      <c r="F27" s="346"/>
      <c r="G27" s="42">
        <f>G25/6</f>
        <v>0</v>
      </c>
      <c r="H27" s="308">
        <f>H25/6</f>
        <v>1.1366666666666667E-6</v>
      </c>
      <c r="I27" s="308">
        <f t="shared" ref="I27:K27" si="4">I25/6</f>
        <v>1.3699999999999998E-6</v>
      </c>
      <c r="J27" s="308">
        <f t="shared" si="4"/>
        <v>1.6066666666666668E-6</v>
      </c>
      <c r="K27" s="308">
        <f t="shared" si="4"/>
        <v>1.8400000000000002E-6</v>
      </c>
      <c r="L27" s="312"/>
      <c r="M27" s="312"/>
    </row>
    <row r="28" spans="1:13" ht="15" customHeight="1" thickBot="1" x14ac:dyDescent="0.3">
      <c r="A28" s="16"/>
      <c r="B28" s="7" t="s">
        <v>239</v>
      </c>
      <c r="C28" s="61">
        <v>0</v>
      </c>
      <c r="E28" s="345" t="s">
        <v>320</v>
      </c>
      <c r="F28" s="346"/>
      <c r="G28" s="42">
        <f>G25/8</f>
        <v>0</v>
      </c>
      <c r="H28" s="308">
        <f>H25/8</f>
        <v>8.5249999999999999E-7</v>
      </c>
      <c r="I28" s="308">
        <f t="shared" ref="I28:K28" si="5">I25/8</f>
        <v>1.0274999999999999E-6</v>
      </c>
      <c r="J28" s="308">
        <f t="shared" si="5"/>
        <v>1.2050000000000001E-6</v>
      </c>
      <c r="K28" s="308">
        <f t="shared" si="5"/>
        <v>1.3800000000000001E-6</v>
      </c>
    </row>
    <row r="29" spans="1:13" x14ac:dyDescent="0.25">
      <c r="A29" s="16"/>
      <c r="B29" s="7" t="s">
        <v>255</v>
      </c>
      <c r="C29" s="43">
        <f>C28*12*4</f>
        <v>0</v>
      </c>
      <c r="D29" s="24"/>
      <c r="I29" s="335"/>
      <c r="J29" s="335"/>
    </row>
    <row r="30" spans="1:13" ht="16.5" thickBot="1" x14ac:dyDescent="0.3">
      <c r="A30" s="16"/>
      <c r="B30" s="7" t="s">
        <v>256</v>
      </c>
      <c r="C30" s="43">
        <f>0.05*C28*12</f>
        <v>0</v>
      </c>
      <c r="I30" s="336"/>
      <c r="J30" s="336"/>
      <c r="K30" s="336"/>
      <c r="L30" s="336"/>
      <c r="M30" s="336"/>
    </row>
    <row r="31" spans="1:13" ht="15.75" x14ac:dyDescent="0.25">
      <c r="A31" s="16"/>
      <c r="B31" s="7" t="s">
        <v>257</v>
      </c>
      <c r="C31" s="310">
        <f>F7*1.1*1.1*C29</f>
        <v>0</v>
      </c>
      <c r="E31" s="360" t="s">
        <v>146</v>
      </c>
      <c r="F31" s="361"/>
      <c r="G31" s="361"/>
      <c r="I31" s="337"/>
      <c r="J31" s="337"/>
      <c r="K31" s="337"/>
      <c r="L31" s="338"/>
      <c r="M31" s="338"/>
    </row>
    <row r="32" spans="1:13" x14ac:dyDescent="0.25">
      <c r="A32" s="16"/>
      <c r="B32" s="7" t="s">
        <v>258</v>
      </c>
      <c r="C32" s="310">
        <f>F8*C30</f>
        <v>0</v>
      </c>
      <c r="E32" s="362"/>
      <c r="F32" s="363"/>
      <c r="G32" s="364"/>
    </row>
    <row r="33" spans="1:7" ht="14.45" customHeight="1" x14ac:dyDescent="0.25">
      <c r="A33" s="10"/>
      <c r="B33" s="7" t="s">
        <v>259</v>
      </c>
      <c r="C33" s="310">
        <f>F7*1.1*1.1*C34</f>
        <v>0</v>
      </c>
      <c r="E33" s="365" t="s">
        <v>308</v>
      </c>
      <c r="F33" s="366"/>
      <c r="G33" s="367"/>
    </row>
    <row r="34" spans="1:7" x14ac:dyDescent="0.25">
      <c r="A34" s="10"/>
      <c r="B34" s="7" t="s">
        <v>260</v>
      </c>
      <c r="C34" s="62">
        <v>0</v>
      </c>
      <c r="E34" s="368"/>
      <c r="F34" s="369"/>
      <c r="G34" s="370"/>
    </row>
    <row r="35" spans="1:7" ht="15" customHeight="1" thickBot="1" x14ac:dyDescent="0.3">
      <c r="A35" s="12"/>
      <c r="B35" s="13" t="s">
        <v>261</v>
      </c>
      <c r="C35" s="311">
        <f>F8*C34</f>
        <v>0</v>
      </c>
      <c r="E35" s="328" t="s">
        <v>306</v>
      </c>
      <c r="F35" s="329"/>
      <c r="G35" s="331" t="s">
        <v>307</v>
      </c>
    </row>
  </sheetData>
  <sheetProtection algorithmName="SHA-512" hashValue="xJuxRTihRmOJ03Ez7C9GpjdCyF69L7ZATS7ETXgYyKpqEXbS270bTK1h3IGQopuVlTIzXRE4ylkNTGPtpQgu7g==" saltValue="8NKST5XE1sAIgEWKZDDCTg==" spinCount="100000" sheet="1" objects="1" scenarios="1" selectLockedCells="1"/>
  <mergeCells count="16">
    <mergeCell ref="E31:G32"/>
    <mergeCell ref="E33:G34"/>
    <mergeCell ref="F16:G16"/>
    <mergeCell ref="A5:G5"/>
    <mergeCell ref="A26:B26"/>
    <mergeCell ref="E28:F28"/>
    <mergeCell ref="B1:B3"/>
    <mergeCell ref="E18:F18"/>
    <mergeCell ref="E17:F17"/>
    <mergeCell ref="E27:F27"/>
    <mergeCell ref="E26:F26"/>
    <mergeCell ref="A18:B18"/>
    <mergeCell ref="A4:G4"/>
    <mergeCell ref="A6:B6"/>
    <mergeCell ref="E6:G6"/>
    <mergeCell ref="E11:G11"/>
  </mergeCells>
  <hyperlinks>
    <hyperlink ref="B8" location="'enquadramento dos rios'!A1" display="Se a captação for superficial, qual a classe de uso preponderante no local?" xr:uid="{00000000-0004-0000-0000-000000000000}"/>
    <hyperlink ref="B9" location="'disponibilidade superficial'!A1" display="Qual a disponibilidade hídrica do local?" xr:uid="{00000000-0004-0000-0000-000001000000}"/>
    <hyperlink ref="E31:G32" location="referencias!A1" display="Para maiores detalhes sobre os valores e cálculos utilizados no simulador, consulte a aba referencias" xr:uid="{00000000-0004-0000-0000-000002000000}"/>
    <hyperlink ref="G35" r:id="rId1" xr:uid="{00000000-0004-0000-0000-000003000000}"/>
    <hyperlink ref="E35" r:id="rId2" xr:uid="{00000000-0004-0000-0000-000004000000}"/>
  </hyperlinks>
  <pageMargins left="0.511811024" right="0.511811024" top="0.78740157499999996" bottom="0.78740157499999996" header="0.31496062000000002" footer="0.31496062000000002"/>
  <pageSetup paperSize="9" scale="74" orientation="landscape" r:id="rId3"/>
  <ignoredErrors>
    <ignoredError sqref="H8:J8 K7:K9 I7:J7 H9 J9" unlockedFormula="1"/>
  </ignoredErrors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4" r:id="rId6" name="Drop Down 2">
              <controlPr defaultSize="0" autoLine="0" autoPict="0">
                <anchor moveWithCells="1">
                  <from>
                    <xdr:col>2</xdr:col>
                    <xdr:colOff>9525</xdr:colOff>
                    <xdr:row>7</xdr:row>
                    <xdr:rowOff>0</xdr:rowOff>
                  </from>
                  <to>
                    <xdr:col>3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Drop Down 4">
              <controlPr defaultSize="0" autoLine="0" autoPict="0">
                <anchor moveWithCells="1">
                  <from>
                    <xdr:col>2</xdr:col>
                    <xdr:colOff>9525</xdr:colOff>
                    <xdr:row>14</xdr:row>
                    <xdr:rowOff>19050</xdr:rowOff>
                  </from>
                  <to>
                    <xdr:col>3</xdr:col>
                    <xdr:colOff>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8" name="Drop Down 6">
              <controlPr defaultSize="0" autoLine="0" autoPict="0">
                <anchor moveWithCells="1">
                  <from>
                    <xdr:col>2</xdr:col>
                    <xdr:colOff>9525</xdr:colOff>
                    <xdr:row>15</xdr:row>
                    <xdr:rowOff>19050</xdr:rowOff>
                  </from>
                  <to>
                    <xdr:col>3</xdr:col>
                    <xdr:colOff>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9" name="Drop Down 7">
              <controlPr defaultSize="0" autoLine="0" autoPict="0">
                <anchor moveWithCells="1">
                  <from>
                    <xdr:col>2</xdr:col>
                    <xdr:colOff>9525</xdr:colOff>
                    <xdr:row>9</xdr:row>
                    <xdr:rowOff>0</xdr:rowOff>
                  </from>
                  <to>
                    <xdr:col>3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10" name="Drop Down 14">
              <controlPr defaultSize="0" autoLine="0" autoPict="0" altText="Preencher">
                <anchor moveWithCells="1">
                  <from>
                    <xdr:col>2</xdr:col>
                    <xdr:colOff>0</xdr:colOff>
                    <xdr:row>17</xdr:row>
                    <xdr:rowOff>171450</xdr:rowOff>
                  </from>
                  <to>
                    <xdr:col>3</xdr:col>
                    <xdr:colOff>0</xdr:colOff>
                    <xdr:row>18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11" name="Drop Down 16">
              <controlPr defaultSize="0" autoLine="0" autoPict="0" altText="Preencher">
                <anchor moveWithCells="1">
                  <from>
                    <xdr:col>2</xdr:col>
                    <xdr:colOff>9525</xdr:colOff>
                    <xdr:row>20</xdr:row>
                    <xdr:rowOff>9525</xdr:rowOff>
                  </from>
                  <to>
                    <xdr:col>3</xdr:col>
                    <xdr:colOff>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2" name="Drop Down 18">
              <controlPr defaultSize="0" autoLine="0" autoPict="0">
                <anchor moveWithCells="1">
                  <from>
                    <xdr:col>2</xdr:col>
                    <xdr:colOff>9525</xdr:colOff>
                    <xdr:row>5</xdr:row>
                    <xdr:rowOff>180975</xdr:rowOff>
                  </from>
                  <to>
                    <xdr:col>3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3" name="Drop Down 23">
              <controlPr defaultSize="0" autoLine="0" autoPict="0" altText="Preencher">
                <anchor moveWithCells="1">
                  <from>
                    <xdr:col>2</xdr:col>
                    <xdr:colOff>9525</xdr:colOff>
                    <xdr:row>23</xdr:row>
                    <xdr:rowOff>9525</xdr:rowOff>
                  </from>
                  <to>
                    <xdr:col>3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14" name="Drop Down 3">
              <controlPr defaultSize="0" autoLine="0" autoPict="0">
                <anchor moveWithCells="1">
                  <from>
                    <xdr:col>2</xdr:col>
                    <xdr:colOff>9525</xdr:colOff>
                    <xdr:row>8</xdr:row>
                    <xdr:rowOff>0</xdr:rowOff>
                  </from>
                  <to>
                    <xdr:col>3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2">
    <tabColor rgb="FF0070C0"/>
    <pageSetUpPr fitToPage="1"/>
  </sheetPr>
  <dimension ref="A1:S156"/>
  <sheetViews>
    <sheetView topLeftCell="B1" zoomScalePageLayoutView="115" workbookViewId="0">
      <selection activeCell="B1" sqref="B1:E1"/>
    </sheetView>
  </sheetViews>
  <sheetFormatPr defaultRowHeight="15" x14ac:dyDescent="0.25"/>
  <cols>
    <col min="1" max="1" width="6.140625" hidden="1" customWidth="1"/>
    <col min="2" max="2" width="64.28515625" customWidth="1"/>
    <col min="3" max="3" width="8.5703125" style="2" customWidth="1"/>
    <col min="4" max="4" width="33" style="3" customWidth="1"/>
    <col min="5" max="5" width="14.7109375" style="2" customWidth="1"/>
    <col min="6" max="6" width="9.7109375" style="2" hidden="1" customWidth="1"/>
    <col min="7" max="7" width="1.28515625" hidden="1" customWidth="1"/>
    <col min="8" max="8" width="19.28515625" hidden="1" customWidth="1"/>
    <col min="9" max="9" width="13.42578125" hidden="1" customWidth="1"/>
    <col min="10" max="10" width="6.7109375" style="5" hidden="1" customWidth="1"/>
    <col min="11" max="11" width="21.42578125" style="2" hidden="1" customWidth="1"/>
    <col min="12" max="12" width="16" hidden="1" customWidth="1"/>
    <col min="13" max="13" width="25.140625" hidden="1" customWidth="1"/>
    <col min="14" max="14" width="17.140625" hidden="1" customWidth="1"/>
    <col min="15" max="15" width="13.7109375" hidden="1" customWidth="1"/>
    <col min="16" max="16" width="13.140625" hidden="1" customWidth="1"/>
    <col min="17" max="17" width="12.140625" hidden="1" customWidth="1"/>
    <col min="18" max="19" width="8.85546875" hidden="1" customWidth="1"/>
    <col min="20" max="20" width="8.85546875" customWidth="1"/>
  </cols>
  <sheetData>
    <row r="1" spans="1:17" ht="31.15" customHeight="1" x14ac:dyDescent="0.25">
      <c r="B1" s="374" t="s">
        <v>147</v>
      </c>
      <c r="C1" s="374"/>
      <c r="D1" s="374"/>
      <c r="E1" s="374"/>
      <c r="F1" s="134"/>
      <c r="G1" s="134"/>
      <c r="H1" s="134"/>
      <c r="I1" s="63"/>
      <c r="J1" s="64"/>
      <c r="K1" s="65"/>
      <c r="L1" s="66" t="s">
        <v>289</v>
      </c>
      <c r="M1" s="67">
        <v>0.01</v>
      </c>
      <c r="N1" s="68" t="s">
        <v>279</v>
      </c>
      <c r="O1" s="295">
        <v>29.09</v>
      </c>
      <c r="P1" s="69"/>
    </row>
    <row r="2" spans="1:17" ht="29.45" customHeight="1" x14ac:dyDescent="0.25">
      <c r="B2" s="375" t="s">
        <v>148</v>
      </c>
      <c r="C2" s="375"/>
      <c r="D2" s="375"/>
      <c r="E2" s="375"/>
      <c r="F2" s="135"/>
      <c r="G2" s="135"/>
      <c r="H2" s="135"/>
      <c r="I2" s="70"/>
      <c r="J2" s="64"/>
      <c r="K2" s="71"/>
      <c r="L2" s="66" t="s">
        <v>290</v>
      </c>
      <c r="M2" s="67">
        <v>0.02</v>
      </c>
      <c r="N2" s="305" t="s">
        <v>151</v>
      </c>
      <c r="O2" s="305">
        <v>31.97</v>
      </c>
      <c r="P2" s="69"/>
      <c r="Q2" s="69"/>
    </row>
    <row r="3" spans="1:17" ht="15.75" x14ac:dyDescent="0.25">
      <c r="B3" s="391" t="s">
        <v>86</v>
      </c>
      <c r="C3" s="391"/>
      <c r="D3" s="391"/>
      <c r="E3" s="391"/>
      <c r="I3" s="69"/>
      <c r="J3" s="64"/>
      <c r="K3" s="74"/>
      <c r="L3" s="66" t="s">
        <v>291</v>
      </c>
      <c r="M3" s="67">
        <v>7.0000000000000007E-2</v>
      </c>
      <c r="N3" s="72"/>
      <c r="O3" s="72"/>
      <c r="P3" s="69"/>
      <c r="Q3" s="69"/>
    </row>
    <row r="4" spans="1:17" x14ac:dyDescent="0.25">
      <c r="B4" s="376" t="s">
        <v>265</v>
      </c>
      <c r="C4" s="376"/>
      <c r="D4" s="376"/>
      <c r="E4" s="376"/>
      <c r="F4" s="136"/>
      <c r="H4" s="136"/>
      <c r="I4" s="75"/>
      <c r="J4" s="64"/>
      <c r="K4" s="73"/>
      <c r="L4" s="69"/>
      <c r="M4" s="69"/>
      <c r="N4" s="69"/>
      <c r="O4" s="69"/>
      <c r="P4" s="69"/>
      <c r="Q4" s="69"/>
    </row>
    <row r="5" spans="1:17" ht="15.75" hidden="1" x14ac:dyDescent="0.25">
      <c r="H5" s="137"/>
      <c r="I5" s="77" t="s">
        <v>87</v>
      </c>
      <c r="J5" s="64"/>
      <c r="K5" s="73"/>
      <c r="L5" s="69"/>
      <c r="M5" s="78"/>
      <c r="N5" s="69"/>
      <c r="O5" s="69"/>
      <c r="P5" s="69"/>
      <c r="Q5" s="69"/>
    </row>
    <row r="6" spans="1:17" ht="15.75" x14ac:dyDescent="0.25">
      <c r="B6" s="138" t="s">
        <v>205</v>
      </c>
      <c r="C6" s="138" t="s">
        <v>10</v>
      </c>
      <c r="D6" s="138" t="s">
        <v>204</v>
      </c>
      <c r="E6" s="138" t="s">
        <v>178</v>
      </c>
      <c r="F6" s="139" t="s">
        <v>11</v>
      </c>
      <c r="G6" s="140"/>
      <c r="H6" s="141" t="s">
        <v>72</v>
      </c>
      <c r="I6" s="79" t="s">
        <v>85</v>
      </c>
      <c r="J6" s="64" t="s">
        <v>177</v>
      </c>
      <c r="K6" s="73" t="s">
        <v>178</v>
      </c>
      <c r="L6" s="66" t="s">
        <v>280</v>
      </c>
      <c r="M6" s="297">
        <v>1.7000000000000001E-2</v>
      </c>
      <c r="N6" t="s">
        <v>297</v>
      </c>
      <c r="O6" s="69">
        <f>0.001078*$O$2</f>
        <v>3.446366E-2</v>
      </c>
      <c r="P6" s="69"/>
      <c r="Q6" s="69"/>
    </row>
    <row r="7" spans="1:17" ht="15.75" x14ac:dyDescent="0.25">
      <c r="A7" s="401" t="s">
        <v>152</v>
      </c>
      <c r="B7" s="403" t="s">
        <v>247</v>
      </c>
      <c r="C7" s="386" t="s">
        <v>0</v>
      </c>
      <c r="D7" s="142" t="s">
        <v>220</v>
      </c>
      <c r="E7" s="318">
        <v>0</v>
      </c>
      <c r="F7" s="143"/>
      <c r="G7" s="140"/>
      <c r="H7" s="141"/>
      <c r="I7" s="80"/>
      <c r="J7" s="64"/>
      <c r="K7" s="73"/>
      <c r="L7" s="66" t="s">
        <v>281</v>
      </c>
      <c r="M7" s="297">
        <v>3.4099999999999998E-2</v>
      </c>
      <c r="N7" t="s">
        <v>298</v>
      </c>
      <c r="O7" s="69">
        <f>0.002156*$O$2</f>
        <v>6.892732E-2</v>
      </c>
      <c r="P7" s="69"/>
      <c r="Q7" s="69"/>
    </row>
    <row r="8" spans="1:17" ht="15.75" x14ac:dyDescent="0.25">
      <c r="A8" s="401"/>
      <c r="B8" s="404"/>
      <c r="C8" s="386"/>
      <c r="D8" s="142" t="s">
        <v>179</v>
      </c>
      <c r="E8" s="144">
        <v>1</v>
      </c>
      <c r="F8" s="145" t="s">
        <v>13</v>
      </c>
      <c r="G8" s="140"/>
      <c r="H8" s="146">
        <v>0.95</v>
      </c>
      <c r="I8" s="81" t="s">
        <v>121</v>
      </c>
      <c r="J8" s="64">
        <v>1</v>
      </c>
      <c r="K8" s="73">
        <f>INDEX($E$7:$E$9,J8)</f>
        <v>0</v>
      </c>
      <c r="L8" s="66" t="s">
        <v>282</v>
      </c>
      <c r="M8" s="297">
        <v>0.1193</v>
      </c>
      <c r="N8" s="69"/>
      <c r="O8" s="69"/>
      <c r="P8" s="69"/>
      <c r="Q8" s="69"/>
    </row>
    <row r="9" spans="1:17" x14ac:dyDescent="0.25">
      <c r="A9" s="402"/>
      <c r="B9" s="405"/>
      <c r="C9" s="387"/>
      <c r="D9" s="147" t="s">
        <v>180</v>
      </c>
      <c r="E9" s="148">
        <v>1.1000000000000001</v>
      </c>
      <c r="F9" s="149" t="s">
        <v>14</v>
      </c>
      <c r="G9" s="140"/>
      <c r="H9" s="150">
        <v>1.05</v>
      </c>
      <c r="I9" s="82" t="s">
        <v>121</v>
      </c>
      <c r="J9" s="64"/>
      <c r="K9" s="73"/>
      <c r="L9" s="69"/>
      <c r="M9" s="297"/>
      <c r="N9" s="69"/>
      <c r="O9" s="69"/>
      <c r="P9" s="69"/>
      <c r="Q9" s="69"/>
    </row>
    <row r="10" spans="1:17" ht="15.75" x14ac:dyDescent="0.25">
      <c r="A10" s="401" t="s">
        <v>153</v>
      </c>
      <c r="B10" s="392" t="s">
        <v>248</v>
      </c>
      <c r="C10" s="386" t="s">
        <v>1</v>
      </c>
      <c r="D10" s="142" t="s">
        <v>220</v>
      </c>
      <c r="E10" s="318">
        <v>0</v>
      </c>
      <c r="F10" s="151"/>
      <c r="G10" s="140"/>
      <c r="H10" s="152"/>
      <c r="I10" s="81"/>
      <c r="J10" s="64"/>
      <c r="K10" s="73"/>
      <c r="L10" s="66" t="s">
        <v>283</v>
      </c>
      <c r="M10" s="297">
        <v>2.06E-2</v>
      </c>
      <c r="N10" t="s">
        <v>299</v>
      </c>
      <c r="O10" s="69">
        <f>0.001078*$O$2</f>
        <v>3.446366E-2</v>
      </c>
      <c r="P10" s="69"/>
      <c r="Q10" s="69"/>
    </row>
    <row r="11" spans="1:17" ht="15.75" x14ac:dyDescent="0.25">
      <c r="A11" s="401"/>
      <c r="B11" s="406"/>
      <c r="C11" s="386"/>
      <c r="D11" s="142" t="s">
        <v>223</v>
      </c>
      <c r="E11" s="318">
        <v>1</v>
      </c>
      <c r="F11" s="151"/>
      <c r="G11" s="140"/>
      <c r="H11" s="152"/>
      <c r="I11" s="81"/>
      <c r="J11" s="64"/>
      <c r="K11" s="73"/>
      <c r="L11" s="66" t="s">
        <v>284</v>
      </c>
      <c r="M11" s="297">
        <v>4.1099999999999998E-2</v>
      </c>
      <c r="N11" t="s">
        <v>301</v>
      </c>
      <c r="O11" s="69">
        <f>0.002156*$O$2</f>
        <v>6.892732E-2</v>
      </c>
      <c r="P11" s="69"/>
      <c r="Q11" s="69"/>
    </row>
    <row r="12" spans="1:17" s="1" customFormat="1" ht="14.45" customHeight="1" x14ac:dyDescent="0.25">
      <c r="A12" s="401"/>
      <c r="B12" s="406"/>
      <c r="C12" s="386"/>
      <c r="D12" s="153" t="s">
        <v>181</v>
      </c>
      <c r="E12" s="154">
        <v>1</v>
      </c>
      <c r="F12" s="155" t="s">
        <v>15</v>
      </c>
      <c r="G12" s="156"/>
      <c r="H12" s="146">
        <v>1.1000000000000001</v>
      </c>
      <c r="I12" s="83" t="s">
        <v>121</v>
      </c>
      <c r="J12" s="84">
        <v>1</v>
      </c>
      <c r="K12" s="85">
        <f>INDEX($E$10:$E$15,J12)</f>
        <v>0</v>
      </c>
      <c r="L12" s="66" t="s">
        <v>285</v>
      </c>
      <c r="M12" s="298">
        <v>0.1439</v>
      </c>
      <c r="N12" s="86"/>
      <c r="O12" s="86"/>
      <c r="P12" s="86"/>
      <c r="Q12" s="86"/>
    </row>
    <row r="13" spans="1:17" s="1" customFormat="1" x14ac:dyDescent="0.25">
      <c r="A13" s="401"/>
      <c r="B13" s="406"/>
      <c r="C13" s="386"/>
      <c r="D13" s="153" t="s">
        <v>182</v>
      </c>
      <c r="E13" s="154">
        <v>0.9</v>
      </c>
      <c r="F13" s="157" t="s">
        <v>16</v>
      </c>
      <c r="G13" s="156"/>
      <c r="H13" s="152">
        <v>1</v>
      </c>
      <c r="I13" s="81" t="s">
        <v>121</v>
      </c>
      <c r="J13" s="84"/>
      <c r="K13" s="85"/>
      <c r="L13" s="86"/>
      <c r="M13" s="298"/>
      <c r="N13" s="86"/>
      <c r="O13" s="86"/>
      <c r="P13" s="86"/>
      <c r="Q13" s="86"/>
    </row>
    <row r="14" spans="1:17" s="1" customFormat="1" ht="15.75" x14ac:dyDescent="0.25">
      <c r="A14" s="401"/>
      <c r="B14" s="406"/>
      <c r="C14" s="386"/>
      <c r="D14" s="153" t="s">
        <v>183</v>
      </c>
      <c r="E14" s="154">
        <v>0.9</v>
      </c>
      <c r="F14" s="157" t="s">
        <v>17</v>
      </c>
      <c r="G14" s="156"/>
      <c r="H14" s="152">
        <v>0.95</v>
      </c>
      <c r="I14" s="81" t="s">
        <v>121</v>
      </c>
      <c r="J14" s="84"/>
      <c r="K14" s="85"/>
      <c r="L14" s="66" t="s">
        <v>286</v>
      </c>
      <c r="M14" s="297">
        <v>2.41E-2</v>
      </c>
      <c r="N14" t="s">
        <v>300</v>
      </c>
      <c r="O14" s="69">
        <f>0.001078*$O$2</f>
        <v>3.446366E-2</v>
      </c>
      <c r="P14" s="86"/>
      <c r="Q14" s="86"/>
    </row>
    <row r="15" spans="1:17" s="1" customFormat="1" ht="15.75" x14ac:dyDescent="0.25">
      <c r="A15" s="402"/>
      <c r="B15" s="393"/>
      <c r="C15" s="387"/>
      <c r="D15" s="158" t="s">
        <v>184</v>
      </c>
      <c r="E15" s="159">
        <v>0.7</v>
      </c>
      <c r="F15" s="160" t="s">
        <v>18</v>
      </c>
      <c r="G15" s="156"/>
      <c r="H15" s="150">
        <v>0.9</v>
      </c>
      <c r="I15" s="82" t="s">
        <v>121</v>
      </c>
      <c r="J15" s="84"/>
      <c r="K15" s="85"/>
      <c r="L15" s="66" t="s">
        <v>287</v>
      </c>
      <c r="M15" s="297">
        <v>4.82E-2</v>
      </c>
      <c r="N15" t="s">
        <v>302</v>
      </c>
      <c r="O15" s="69">
        <f>0.002156*$O$2</f>
        <v>6.892732E-2</v>
      </c>
      <c r="P15" s="86"/>
      <c r="Q15" s="86"/>
    </row>
    <row r="16" spans="1:17" s="1" customFormat="1" ht="15.75" x14ac:dyDescent="0.25">
      <c r="A16" s="401" t="s">
        <v>154</v>
      </c>
      <c r="B16" s="392" t="s">
        <v>249</v>
      </c>
      <c r="C16" s="386" t="s">
        <v>2</v>
      </c>
      <c r="D16" s="142" t="s">
        <v>220</v>
      </c>
      <c r="E16" s="318">
        <v>0</v>
      </c>
      <c r="F16" s="157"/>
      <c r="G16" s="156"/>
      <c r="H16" s="152"/>
      <c r="I16" s="81"/>
      <c r="J16" s="84"/>
      <c r="K16" s="85"/>
      <c r="L16" s="66" t="s">
        <v>288</v>
      </c>
      <c r="M16" s="297">
        <v>0.1686</v>
      </c>
      <c r="N16" s="87"/>
      <c r="O16" s="73"/>
      <c r="P16" s="86"/>
      <c r="Q16" s="86"/>
    </row>
    <row r="17" spans="1:17" ht="14.45" customHeight="1" x14ac:dyDescent="0.25">
      <c r="A17" s="401"/>
      <c r="B17" s="406"/>
      <c r="C17" s="386"/>
      <c r="D17" s="161" t="s">
        <v>185</v>
      </c>
      <c r="E17" s="144">
        <v>1</v>
      </c>
      <c r="F17" s="145" t="s">
        <v>19</v>
      </c>
      <c r="G17" s="140"/>
      <c r="H17" s="146">
        <v>0.9</v>
      </c>
      <c r="I17" s="83" t="s">
        <v>121</v>
      </c>
      <c r="J17" s="64">
        <v>1</v>
      </c>
      <c r="K17" s="73">
        <f>INDEX($E$16:$E$21,J17)</f>
        <v>0</v>
      </c>
      <c r="L17" s="90"/>
      <c r="M17" s="73"/>
      <c r="N17" s="69"/>
      <c r="O17" s="69"/>
      <c r="P17" s="69"/>
      <c r="Q17" s="69"/>
    </row>
    <row r="18" spans="1:17" ht="15.75" x14ac:dyDescent="0.25">
      <c r="A18" s="401"/>
      <c r="B18" s="406"/>
      <c r="C18" s="386"/>
      <c r="D18" s="161" t="s">
        <v>186</v>
      </c>
      <c r="E18" s="144">
        <v>1</v>
      </c>
      <c r="F18" s="151" t="s">
        <v>20</v>
      </c>
      <c r="G18" s="140"/>
      <c r="H18" s="152">
        <v>0.95</v>
      </c>
      <c r="I18" s="81" t="s">
        <v>121</v>
      </c>
      <c r="J18" s="64"/>
      <c r="K18" s="91"/>
      <c r="L18" s="66" t="s">
        <v>312</v>
      </c>
      <c r="M18" s="116">
        <v>2.76E-2</v>
      </c>
      <c r="N18" t="s">
        <v>318</v>
      </c>
      <c r="O18" s="69">
        <f>0.001078*$O$2</f>
        <v>3.446366E-2</v>
      </c>
      <c r="P18" s="69"/>
      <c r="Q18" s="69"/>
    </row>
    <row r="19" spans="1:17" ht="15.75" x14ac:dyDescent="0.25">
      <c r="A19" s="401"/>
      <c r="B19" s="406"/>
      <c r="C19" s="386"/>
      <c r="D19" s="161" t="s">
        <v>187</v>
      </c>
      <c r="E19" s="144">
        <v>1</v>
      </c>
      <c r="F19" s="151" t="s">
        <v>21</v>
      </c>
      <c r="G19" s="140"/>
      <c r="H19" s="152">
        <v>1</v>
      </c>
      <c r="I19" s="81" t="s">
        <v>121</v>
      </c>
      <c r="J19" s="64"/>
      <c r="K19" s="73"/>
      <c r="L19" s="66" t="s">
        <v>313</v>
      </c>
      <c r="M19" s="116">
        <v>5.5199999999999999E-2</v>
      </c>
      <c r="N19" t="s">
        <v>319</v>
      </c>
      <c r="O19" s="69">
        <f>0.002156*$O$2</f>
        <v>6.892732E-2</v>
      </c>
      <c r="P19" s="69"/>
      <c r="Q19" s="69"/>
    </row>
    <row r="20" spans="1:17" ht="15.75" x14ac:dyDescent="0.25">
      <c r="A20" s="401"/>
      <c r="B20" s="406"/>
      <c r="C20" s="386"/>
      <c r="D20" s="161" t="s">
        <v>188</v>
      </c>
      <c r="E20" s="144">
        <v>1.1000000000000001</v>
      </c>
      <c r="F20" s="151" t="s">
        <v>22</v>
      </c>
      <c r="G20" s="140"/>
      <c r="H20" s="152">
        <v>1.05</v>
      </c>
      <c r="I20" s="81" t="s">
        <v>121</v>
      </c>
      <c r="J20" s="64"/>
      <c r="K20" s="73"/>
      <c r="L20" s="66" t="s">
        <v>314</v>
      </c>
      <c r="M20" s="116">
        <v>0.19320000000000001</v>
      </c>
      <c r="N20" s="69"/>
      <c r="O20" s="69"/>
      <c r="P20" s="69"/>
      <c r="Q20" s="69"/>
    </row>
    <row r="21" spans="1:17" x14ac:dyDescent="0.25">
      <c r="A21" s="401"/>
      <c r="B21" s="393"/>
      <c r="C21" s="386"/>
      <c r="D21" s="162" t="s">
        <v>189</v>
      </c>
      <c r="E21" s="148">
        <v>1.2</v>
      </c>
      <c r="F21" s="149" t="s">
        <v>23</v>
      </c>
      <c r="G21" s="140"/>
      <c r="H21" s="150">
        <v>1.1000000000000001</v>
      </c>
      <c r="I21" s="82" t="s">
        <v>121</v>
      </c>
      <c r="J21" s="64"/>
      <c r="K21" s="73"/>
      <c r="L21" s="92"/>
      <c r="M21" s="92"/>
      <c r="N21" s="69"/>
      <c r="O21" s="69"/>
      <c r="P21" s="69"/>
      <c r="Q21" s="69"/>
    </row>
    <row r="22" spans="1:17" hidden="1" x14ac:dyDescent="0.25">
      <c r="A22" s="20" t="s">
        <v>155</v>
      </c>
      <c r="B22" s="163" t="s">
        <v>165</v>
      </c>
      <c r="C22" s="164" t="s">
        <v>65</v>
      </c>
      <c r="D22" s="165" t="s">
        <v>71</v>
      </c>
      <c r="E22" s="319" t="s">
        <v>73</v>
      </c>
      <c r="F22" s="157" t="s">
        <v>75</v>
      </c>
      <c r="G22" s="140"/>
      <c r="H22" s="166" t="s">
        <v>71</v>
      </c>
      <c r="I22" s="93" t="s">
        <v>121</v>
      </c>
      <c r="J22" s="64"/>
      <c r="K22" s="73"/>
      <c r="L22" s="69"/>
      <c r="M22" s="69"/>
      <c r="N22" s="69"/>
      <c r="O22" s="69"/>
      <c r="P22" s="69"/>
      <c r="Q22" s="69"/>
    </row>
    <row r="23" spans="1:17" x14ac:dyDescent="0.25">
      <c r="A23" s="407" t="s">
        <v>156</v>
      </c>
      <c r="B23" s="411" t="s">
        <v>250</v>
      </c>
      <c r="C23" s="408" t="s">
        <v>3</v>
      </c>
      <c r="D23" s="142" t="s">
        <v>220</v>
      </c>
      <c r="E23" s="318">
        <v>0</v>
      </c>
      <c r="F23" s="157"/>
      <c r="G23" s="140"/>
      <c r="H23" s="167"/>
      <c r="I23" s="83"/>
      <c r="J23" s="64"/>
      <c r="K23" s="73"/>
      <c r="L23" s="69"/>
      <c r="M23" s="69"/>
      <c r="N23" s="69"/>
      <c r="O23" s="69"/>
      <c r="P23" s="69"/>
      <c r="Q23" s="69"/>
    </row>
    <row r="24" spans="1:17" x14ac:dyDescent="0.25">
      <c r="A24" s="401"/>
      <c r="B24" s="412"/>
      <c r="C24" s="386"/>
      <c r="D24" s="161" t="s">
        <v>190</v>
      </c>
      <c r="E24" s="144">
        <v>1</v>
      </c>
      <c r="F24" s="145" t="s">
        <v>47</v>
      </c>
      <c r="G24" s="140"/>
      <c r="H24" s="146">
        <v>1</v>
      </c>
      <c r="I24" s="83" t="s">
        <v>121</v>
      </c>
      <c r="J24" s="64">
        <v>1</v>
      </c>
      <c r="K24" s="73">
        <f>INDEX($E$23:$E$25,J24)</f>
        <v>0</v>
      </c>
      <c r="L24" s="69"/>
      <c r="M24" s="69"/>
      <c r="N24" s="69"/>
      <c r="O24" s="69"/>
      <c r="P24" s="69"/>
      <c r="Q24" s="69"/>
    </row>
    <row r="25" spans="1:17" x14ac:dyDescent="0.25">
      <c r="A25" s="402"/>
      <c r="B25" s="168" t="s">
        <v>216</v>
      </c>
      <c r="C25" s="387"/>
      <c r="D25" s="162" t="s">
        <v>192</v>
      </c>
      <c r="E25" s="169">
        <f>IF(OR(J24=2,simulador!C11=0),1,IF(simulador!C12/simulador!C11&gt;=0.7,1,(1+ ((0.7*simulador!C11-simulador!C12)/(0.2*simulador!C11+0.8*simulador!C12)))))</f>
        <v>4.5</v>
      </c>
      <c r="F25" s="149" t="s">
        <v>48</v>
      </c>
      <c r="G25" s="140"/>
      <c r="H25" s="150">
        <v>1</v>
      </c>
      <c r="I25" s="82" t="s">
        <v>121</v>
      </c>
      <c r="J25" s="64"/>
      <c r="K25" s="73"/>
      <c r="L25" s="69"/>
      <c r="M25" s="69"/>
      <c r="N25" s="69"/>
      <c r="O25" s="69"/>
      <c r="P25" s="69"/>
      <c r="Q25" s="69"/>
    </row>
    <row r="26" spans="1:17" x14ac:dyDescent="0.25">
      <c r="A26" s="6" t="s">
        <v>232</v>
      </c>
      <c r="B26" s="170" t="s">
        <v>246</v>
      </c>
      <c r="C26" s="171"/>
      <c r="D26" s="161"/>
      <c r="E26" s="172">
        <f>simulador!C13</f>
        <v>0</v>
      </c>
      <c r="F26" s="149"/>
      <c r="G26" s="140"/>
      <c r="H26" s="150"/>
      <c r="I26" s="82"/>
      <c r="J26" s="64"/>
      <c r="K26" s="73"/>
      <c r="L26" s="69"/>
      <c r="M26" s="69"/>
      <c r="N26" s="69"/>
      <c r="O26" s="69"/>
      <c r="P26" s="69"/>
      <c r="Q26" s="69"/>
    </row>
    <row r="27" spans="1:17" x14ac:dyDescent="0.25">
      <c r="A27" s="413" t="s">
        <v>157</v>
      </c>
      <c r="B27" s="394" t="s">
        <v>166</v>
      </c>
      <c r="C27" s="408" t="s">
        <v>4</v>
      </c>
      <c r="D27" s="173" t="s">
        <v>220</v>
      </c>
      <c r="E27" s="174">
        <v>0</v>
      </c>
      <c r="F27" s="149"/>
      <c r="G27" s="140"/>
      <c r="H27" s="150"/>
      <c r="I27" s="82"/>
      <c r="J27" s="64"/>
      <c r="K27" s="73"/>
      <c r="L27" s="69"/>
      <c r="M27" s="69"/>
      <c r="N27" s="69"/>
      <c r="O27" s="69"/>
      <c r="P27" s="69"/>
      <c r="Q27" s="69"/>
    </row>
    <row r="28" spans="1:17" ht="25.5" x14ac:dyDescent="0.25">
      <c r="A28" s="414"/>
      <c r="B28" s="395"/>
      <c r="C28" s="387"/>
      <c r="D28" s="162" t="s">
        <v>305</v>
      </c>
      <c r="E28" s="159">
        <v>1</v>
      </c>
      <c r="F28" s="175" t="s">
        <v>24</v>
      </c>
      <c r="G28" s="140"/>
      <c r="H28" s="176">
        <v>1</v>
      </c>
      <c r="I28" s="94" t="s">
        <v>74</v>
      </c>
      <c r="J28" s="64">
        <v>1</v>
      </c>
      <c r="K28" s="95">
        <v>1</v>
      </c>
      <c r="L28" s="92"/>
      <c r="M28" s="69"/>
      <c r="N28" s="69"/>
      <c r="O28" s="69"/>
      <c r="P28" s="69"/>
      <c r="Q28" s="69"/>
    </row>
    <row r="29" spans="1:17" x14ac:dyDescent="0.25">
      <c r="A29" s="401" t="s">
        <v>158</v>
      </c>
      <c r="B29" s="403" t="s">
        <v>167</v>
      </c>
      <c r="C29" s="386" t="s">
        <v>5</v>
      </c>
      <c r="D29" s="142" t="s">
        <v>220</v>
      </c>
      <c r="E29" s="318">
        <v>0</v>
      </c>
      <c r="F29" s="145"/>
      <c r="G29" s="140"/>
      <c r="H29" s="177"/>
      <c r="I29" s="96"/>
      <c r="J29" s="64"/>
      <c r="K29" s="95"/>
      <c r="L29" s="92"/>
      <c r="M29" s="69"/>
      <c r="N29" s="69"/>
      <c r="O29" s="69"/>
      <c r="P29" s="69"/>
      <c r="Q29" s="69"/>
    </row>
    <row r="30" spans="1:17" x14ac:dyDescent="0.25">
      <c r="A30" s="401"/>
      <c r="B30" s="404"/>
      <c r="C30" s="386"/>
      <c r="D30" s="161" t="s">
        <v>12</v>
      </c>
      <c r="E30" s="144">
        <v>1</v>
      </c>
      <c r="F30" s="145" t="s">
        <v>25</v>
      </c>
      <c r="G30" s="140"/>
      <c r="H30" s="146">
        <v>1</v>
      </c>
      <c r="I30" s="83" t="s">
        <v>121</v>
      </c>
      <c r="J30" s="64">
        <v>1</v>
      </c>
      <c r="K30" s="73">
        <f>INDEX(E29:$E$32,J30)</f>
        <v>0</v>
      </c>
      <c r="L30" s="69"/>
      <c r="M30" s="69"/>
      <c r="N30" s="69"/>
      <c r="O30" s="69"/>
      <c r="P30" s="69"/>
      <c r="Q30" s="69"/>
    </row>
    <row r="31" spans="1:17" x14ac:dyDescent="0.25">
      <c r="A31" s="401"/>
      <c r="B31" s="404"/>
      <c r="C31" s="386"/>
      <c r="D31" s="161" t="s">
        <v>51</v>
      </c>
      <c r="E31" s="144">
        <v>1.2</v>
      </c>
      <c r="F31" s="151" t="s">
        <v>26</v>
      </c>
      <c r="G31" s="140"/>
      <c r="H31" s="152">
        <v>1</v>
      </c>
      <c r="I31" s="81" t="s">
        <v>121</v>
      </c>
      <c r="J31" s="64"/>
      <c r="K31" s="73"/>
      <c r="L31" s="69"/>
      <c r="M31" s="69"/>
      <c r="N31" s="69"/>
      <c r="O31" s="69"/>
      <c r="P31" s="69"/>
      <c r="Q31" s="69"/>
    </row>
    <row r="32" spans="1:17" x14ac:dyDescent="0.25">
      <c r="A32" s="402"/>
      <c r="B32" s="405"/>
      <c r="C32" s="387"/>
      <c r="D32" s="162" t="s">
        <v>52</v>
      </c>
      <c r="E32" s="148">
        <v>1.1000000000000001</v>
      </c>
      <c r="F32" s="151" t="s">
        <v>27</v>
      </c>
      <c r="G32" s="140"/>
      <c r="H32" s="152">
        <v>1</v>
      </c>
      <c r="I32" s="82" t="s">
        <v>121</v>
      </c>
      <c r="J32" s="64"/>
      <c r="K32" s="73"/>
      <c r="L32" s="69"/>
      <c r="M32" s="69"/>
      <c r="N32" s="69"/>
      <c r="O32" s="69"/>
      <c r="P32" s="69"/>
      <c r="Q32" s="69"/>
    </row>
    <row r="33" spans="1:18" hidden="1" x14ac:dyDescent="0.25">
      <c r="A33" s="4" t="s">
        <v>159</v>
      </c>
      <c r="B33" s="178" t="s">
        <v>168</v>
      </c>
      <c r="C33" s="164" t="s">
        <v>66</v>
      </c>
      <c r="D33" s="165" t="s">
        <v>71</v>
      </c>
      <c r="E33" s="319" t="s">
        <v>73</v>
      </c>
      <c r="F33" s="179" t="s">
        <v>75</v>
      </c>
      <c r="G33" s="140"/>
      <c r="H33" s="166" t="s">
        <v>71</v>
      </c>
      <c r="I33" s="93" t="s">
        <v>121</v>
      </c>
      <c r="J33" s="64"/>
      <c r="K33" s="73"/>
      <c r="L33" s="69"/>
      <c r="M33" s="69"/>
      <c r="N33" s="69"/>
      <c r="O33" s="69"/>
      <c r="P33" s="69"/>
      <c r="Q33" s="69"/>
    </row>
    <row r="34" spans="1:18" hidden="1" x14ac:dyDescent="0.25">
      <c r="A34" s="4" t="s">
        <v>160</v>
      </c>
      <c r="B34" s="178" t="s">
        <v>169</v>
      </c>
      <c r="C34" s="164" t="s">
        <v>67</v>
      </c>
      <c r="D34" s="165" t="s">
        <v>71</v>
      </c>
      <c r="E34" s="319" t="s">
        <v>73</v>
      </c>
      <c r="F34" s="179" t="s">
        <v>75</v>
      </c>
      <c r="G34" s="140"/>
      <c r="H34" s="166" t="s">
        <v>71</v>
      </c>
      <c r="I34" s="93" t="s">
        <v>121</v>
      </c>
      <c r="J34" s="64"/>
      <c r="K34" s="73"/>
      <c r="L34" s="69"/>
      <c r="M34" s="69"/>
      <c r="N34" s="69"/>
      <c r="O34" s="69"/>
      <c r="P34" s="69"/>
      <c r="Q34" s="69"/>
    </row>
    <row r="35" spans="1:18" hidden="1" x14ac:dyDescent="0.25">
      <c r="A35" s="4" t="s">
        <v>161</v>
      </c>
      <c r="B35" s="163" t="s">
        <v>170</v>
      </c>
      <c r="C35" s="164" t="s">
        <v>68</v>
      </c>
      <c r="D35" s="165" t="s">
        <v>71</v>
      </c>
      <c r="E35" s="319" t="s">
        <v>73</v>
      </c>
      <c r="F35" s="179" t="s">
        <v>75</v>
      </c>
      <c r="G35" s="140"/>
      <c r="H35" s="166" t="s">
        <v>71</v>
      </c>
      <c r="I35" s="93" t="s">
        <v>121</v>
      </c>
      <c r="J35" s="64"/>
      <c r="K35" s="73"/>
      <c r="L35" s="69"/>
      <c r="M35" s="69"/>
      <c r="N35" s="69"/>
      <c r="O35" s="69"/>
      <c r="P35" s="69"/>
      <c r="Q35" s="69"/>
    </row>
    <row r="36" spans="1:18" hidden="1" x14ac:dyDescent="0.25">
      <c r="A36" s="4" t="s">
        <v>162</v>
      </c>
      <c r="B36" s="178" t="s">
        <v>171</v>
      </c>
      <c r="C36" s="164" t="s">
        <v>69</v>
      </c>
      <c r="D36" s="165" t="s">
        <v>71</v>
      </c>
      <c r="E36" s="319" t="s">
        <v>73</v>
      </c>
      <c r="F36" s="179" t="s">
        <v>75</v>
      </c>
      <c r="G36" s="140"/>
      <c r="H36" s="166" t="s">
        <v>71</v>
      </c>
      <c r="I36" s="93" t="s">
        <v>121</v>
      </c>
      <c r="J36" s="64"/>
      <c r="K36" s="73"/>
      <c r="L36" s="69"/>
      <c r="M36" s="69"/>
      <c r="N36" s="69"/>
      <c r="O36" s="69"/>
      <c r="P36" s="69"/>
      <c r="Q36" s="69"/>
    </row>
    <row r="37" spans="1:18" hidden="1" x14ac:dyDescent="0.25">
      <c r="A37" s="4" t="s">
        <v>163</v>
      </c>
      <c r="B37" s="163" t="s">
        <v>172</v>
      </c>
      <c r="C37" s="164" t="s">
        <v>70</v>
      </c>
      <c r="D37" s="165" t="s">
        <v>71</v>
      </c>
      <c r="E37" s="319" t="s">
        <v>73</v>
      </c>
      <c r="F37" s="179" t="s">
        <v>75</v>
      </c>
      <c r="G37" s="140"/>
      <c r="H37" s="166" t="s">
        <v>71</v>
      </c>
      <c r="I37" s="93" t="s">
        <v>121</v>
      </c>
      <c r="J37" s="64"/>
      <c r="K37" s="73"/>
      <c r="L37" s="69"/>
      <c r="M37" s="69"/>
      <c r="N37" s="69"/>
      <c r="O37" s="69"/>
      <c r="P37" s="69"/>
      <c r="Q37" s="69"/>
    </row>
    <row r="38" spans="1:18" ht="14.45" customHeight="1" x14ac:dyDescent="0.25">
      <c r="A38" s="401" t="s">
        <v>164</v>
      </c>
      <c r="B38" s="392" t="s">
        <v>173</v>
      </c>
      <c r="C38" s="386" t="s">
        <v>6</v>
      </c>
      <c r="D38" s="161" t="s">
        <v>191</v>
      </c>
      <c r="E38" s="320">
        <v>2</v>
      </c>
      <c r="F38" s="151" t="s">
        <v>28</v>
      </c>
      <c r="G38" s="140"/>
      <c r="H38" s="146">
        <v>1</v>
      </c>
      <c r="I38" s="83" t="s">
        <v>121</v>
      </c>
      <c r="J38" s="84">
        <v>2</v>
      </c>
      <c r="K38" s="73">
        <f>INDEX(E38:E39,J38)</f>
        <v>1</v>
      </c>
      <c r="L38" s="69"/>
      <c r="M38" s="69"/>
      <c r="N38" s="69"/>
      <c r="O38" s="69"/>
      <c r="P38" s="69"/>
      <c r="Q38" s="69"/>
    </row>
    <row r="39" spans="1:18" ht="13.15" customHeight="1" x14ac:dyDescent="0.25">
      <c r="A39" s="402"/>
      <c r="B39" s="393"/>
      <c r="C39" s="387"/>
      <c r="D39" s="162" t="s">
        <v>226</v>
      </c>
      <c r="E39" s="180">
        <v>1</v>
      </c>
      <c r="F39" s="149" t="s">
        <v>29</v>
      </c>
      <c r="G39" s="140"/>
      <c r="H39" s="181">
        <v>1</v>
      </c>
      <c r="I39" s="97" t="s">
        <v>74</v>
      </c>
      <c r="J39" s="64"/>
      <c r="K39" s="73"/>
      <c r="L39" s="69"/>
      <c r="M39" s="69"/>
      <c r="N39" s="69"/>
      <c r="O39" s="69"/>
      <c r="P39" s="69"/>
      <c r="Q39" s="69"/>
    </row>
    <row r="40" spans="1:18" x14ac:dyDescent="0.25">
      <c r="A40" s="409" t="s">
        <v>199</v>
      </c>
      <c r="B40" s="182" t="s">
        <v>195</v>
      </c>
      <c r="C40" s="183" t="s">
        <v>194</v>
      </c>
      <c r="D40" s="182" t="s">
        <v>196</v>
      </c>
      <c r="E40" s="332">
        <v>0.01</v>
      </c>
      <c r="F40" s="184"/>
      <c r="G40" s="140"/>
      <c r="H40" s="185"/>
      <c r="I40" s="98"/>
      <c r="J40" s="64"/>
      <c r="K40" s="99">
        <f>K8*K12*K17*K24*K28*K30*K38</f>
        <v>0</v>
      </c>
      <c r="L40" s="69" t="s">
        <v>210</v>
      </c>
      <c r="M40" s="69"/>
      <c r="N40" s="69"/>
      <c r="O40" s="69"/>
      <c r="P40" s="69"/>
      <c r="Q40" s="69"/>
    </row>
    <row r="41" spans="1:18" ht="15" customHeight="1" x14ac:dyDescent="0.25">
      <c r="A41" s="410"/>
      <c r="B41" s="162" t="s">
        <v>208</v>
      </c>
      <c r="C41" s="186" t="s">
        <v>207</v>
      </c>
      <c r="D41" s="162" t="s">
        <v>213</v>
      </c>
      <c r="E41" s="333">
        <f>0.001078*$O$1</f>
        <v>3.1359020000000001E-2</v>
      </c>
      <c r="F41" s="184"/>
      <c r="G41" s="140"/>
      <c r="H41" s="185"/>
      <c r="I41" s="98"/>
      <c r="J41" s="64"/>
      <c r="K41" s="100">
        <f>K40*E40</f>
        <v>0</v>
      </c>
      <c r="L41" s="69" t="s">
        <v>209</v>
      </c>
      <c r="M41" s="300"/>
      <c r="N41" s="297">
        <f>M6*K40</f>
        <v>0</v>
      </c>
      <c r="O41" s="297">
        <f>M10*K40</f>
        <v>0</v>
      </c>
      <c r="P41" s="297">
        <f>M14*K40</f>
        <v>0</v>
      </c>
      <c r="Q41" s="297">
        <f>M18*K40</f>
        <v>0</v>
      </c>
      <c r="R41" s="69" t="s">
        <v>303</v>
      </c>
    </row>
    <row r="42" spans="1:18" ht="15" hidden="1" customHeight="1" x14ac:dyDescent="0.25">
      <c r="A42" s="6"/>
      <c r="B42" s="187"/>
      <c r="C42" s="6"/>
      <c r="D42" s="187"/>
      <c r="E42" s="188"/>
      <c r="F42" s="184"/>
      <c r="G42" s="140"/>
      <c r="H42" s="185"/>
      <c r="I42" s="98"/>
      <c r="J42" s="64"/>
      <c r="K42" s="101">
        <f>IF(E26&gt;0,E26,IF(simulador!C12&gt;simulador!C11,simulador!C12,IF(K24=1,simulador!C11,(0.2*simulador!C11+0.8*simulador!C12))))</f>
        <v>2.0000000000000001E-4</v>
      </c>
      <c r="L42" s="102" t="s">
        <v>231</v>
      </c>
      <c r="M42" s="306" t="s">
        <v>295</v>
      </c>
      <c r="N42" s="306" t="s">
        <v>292</v>
      </c>
      <c r="O42" s="306" t="s">
        <v>316</v>
      </c>
      <c r="P42" s="306" t="s">
        <v>317</v>
      </c>
      <c r="Q42" s="69" t="s">
        <v>315</v>
      </c>
    </row>
    <row r="43" spans="1:18" ht="15" hidden="1" customHeight="1" x14ac:dyDescent="0.25">
      <c r="A43" s="6"/>
      <c r="B43" s="187"/>
      <c r="C43" s="6"/>
      <c r="D43" s="187"/>
      <c r="E43" s="188"/>
      <c r="F43" s="184"/>
      <c r="G43" s="140"/>
      <c r="H43" s="185"/>
      <c r="I43" s="98"/>
      <c r="J43" s="64"/>
      <c r="K43" s="103">
        <f>IF((E40*K40)&lt;E41,(E40*K40),E41)*K42</f>
        <v>0</v>
      </c>
      <c r="L43" s="69" t="s">
        <v>215</v>
      </c>
      <c r="M43" s="307">
        <f>IF((M1*K40)&lt;E41,(M1*K40),E41)*K42</f>
        <v>0</v>
      </c>
      <c r="N43" s="307">
        <f>IF((M6*K40)&lt;O6,(M6*K40),O6)*K42</f>
        <v>0</v>
      </c>
      <c r="O43" s="307">
        <f>IF((M10*K40)&lt;O10,(M10*K40),O10)*K42</f>
        <v>0</v>
      </c>
      <c r="P43" s="313">
        <f>IF((M14*K40)&lt;O14,(M14*K40),O14)*K42</f>
        <v>0</v>
      </c>
      <c r="Q43" s="313">
        <f>IF((M18*K40)&lt;O18,(M18*K40),O18)*K42</f>
        <v>0</v>
      </c>
    </row>
    <row r="44" spans="1:18" x14ac:dyDescent="0.25">
      <c r="E44" s="189"/>
      <c r="H44" s="190"/>
      <c r="I44" s="69"/>
      <c r="J44" s="64"/>
      <c r="K44" s="73"/>
      <c r="L44" s="69"/>
      <c r="M44" s="69"/>
      <c r="N44" s="69"/>
      <c r="O44" s="69"/>
      <c r="P44" s="69"/>
      <c r="Q44" s="69"/>
    </row>
    <row r="45" spans="1:18" x14ac:dyDescent="0.25">
      <c r="B45" s="377" t="s">
        <v>266</v>
      </c>
      <c r="C45" s="377"/>
      <c r="D45" s="377"/>
      <c r="E45" s="377"/>
      <c r="F45" s="191"/>
      <c r="H45" s="192"/>
      <c r="I45" s="104"/>
      <c r="J45" s="64"/>
      <c r="K45" s="73"/>
      <c r="L45" s="69"/>
      <c r="M45" s="296"/>
      <c r="N45" s="307"/>
      <c r="O45" s="69"/>
      <c r="P45" s="69"/>
      <c r="Q45" s="69"/>
    </row>
    <row r="46" spans="1:18" x14ac:dyDescent="0.25">
      <c r="B46" s="193"/>
      <c r="C46" s="194"/>
      <c r="D46" s="195"/>
      <c r="E46" s="196"/>
      <c r="H46" s="190"/>
      <c r="I46" s="77" t="s">
        <v>87</v>
      </c>
      <c r="J46" s="64"/>
      <c r="K46" s="73"/>
      <c r="L46" s="69"/>
      <c r="M46" s="69"/>
      <c r="N46" s="69"/>
      <c r="O46" s="69"/>
      <c r="P46" s="69"/>
      <c r="Q46" s="69"/>
    </row>
    <row r="47" spans="1:18" x14ac:dyDescent="0.25">
      <c r="B47" s="197" t="s">
        <v>205</v>
      </c>
      <c r="C47" s="197" t="s">
        <v>10</v>
      </c>
      <c r="D47" s="197" t="s">
        <v>204</v>
      </c>
      <c r="E47" s="197" t="s">
        <v>178</v>
      </c>
      <c r="F47" s="139" t="s">
        <v>11</v>
      </c>
      <c r="G47" s="140"/>
      <c r="H47" s="141" t="s">
        <v>72</v>
      </c>
      <c r="I47" s="79" t="s">
        <v>85</v>
      </c>
      <c r="J47" s="64"/>
      <c r="K47" s="73"/>
      <c r="L47" s="69"/>
      <c r="M47" s="69"/>
      <c r="N47" s="69"/>
      <c r="O47" s="69"/>
      <c r="P47" s="69"/>
      <c r="Q47" s="69"/>
    </row>
    <row r="48" spans="1:18" hidden="1" x14ac:dyDescent="0.25">
      <c r="A48" s="396" t="s">
        <v>152</v>
      </c>
      <c r="B48" s="379" t="s">
        <v>247</v>
      </c>
      <c r="C48" s="379" t="s">
        <v>0</v>
      </c>
      <c r="D48" s="198" t="s">
        <v>221</v>
      </c>
      <c r="E48" s="199">
        <v>0</v>
      </c>
      <c r="F48" s="143"/>
      <c r="G48" s="140"/>
      <c r="H48" s="141"/>
      <c r="I48" s="105"/>
      <c r="J48" s="64"/>
      <c r="K48" s="73"/>
      <c r="L48" s="69"/>
      <c r="M48" s="69"/>
      <c r="N48" s="69"/>
      <c r="O48" s="69"/>
      <c r="P48" s="69"/>
      <c r="Q48" s="69"/>
    </row>
    <row r="49" spans="1:17" x14ac:dyDescent="0.25">
      <c r="A49" s="396"/>
      <c r="B49" s="380"/>
      <c r="C49" s="380"/>
      <c r="D49" s="200" t="s">
        <v>179</v>
      </c>
      <c r="E49" s="201">
        <v>1</v>
      </c>
      <c r="F49" s="145" t="s">
        <v>30</v>
      </c>
      <c r="H49" s="202">
        <v>1</v>
      </c>
      <c r="I49" s="106" t="s">
        <v>74</v>
      </c>
      <c r="J49" s="64">
        <v>3</v>
      </c>
      <c r="K49" s="73">
        <f>INDEX($E$48:$E$50,J49)</f>
        <v>1</v>
      </c>
      <c r="L49" s="69"/>
      <c r="M49" s="69"/>
      <c r="N49" s="69"/>
      <c r="O49" s="69"/>
      <c r="P49" s="69"/>
      <c r="Q49" s="69"/>
    </row>
    <row r="50" spans="1:17" ht="15.75" x14ac:dyDescent="0.25">
      <c r="A50" s="396"/>
      <c r="B50" s="381"/>
      <c r="C50" s="381"/>
      <c r="D50" s="203" t="s">
        <v>180</v>
      </c>
      <c r="E50" s="204">
        <v>1</v>
      </c>
      <c r="F50" s="149" t="s">
        <v>31</v>
      </c>
      <c r="H50" s="205">
        <v>1</v>
      </c>
      <c r="I50" s="107" t="s">
        <v>74</v>
      </c>
      <c r="J50" s="64"/>
      <c r="K50" s="73"/>
      <c r="L50" s="69"/>
      <c r="M50" s="87"/>
      <c r="N50" s="88"/>
      <c r="O50" s="69"/>
      <c r="P50" s="69"/>
      <c r="Q50" s="69"/>
    </row>
    <row r="51" spans="1:17" ht="15.75" hidden="1" x14ac:dyDescent="0.25">
      <c r="A51" s="396" t="s">
        <v>153</v>
      </c>
      <c r="B51" s="388" t="s">
        <v>310</v>
      </c>
      <c r="C51" s="379" t="s">
        <v>1</v>
      </c>
      <c r="D51" s="198" t="s">
        <v>221</v>
      </c>
      <c r="E51" s="206">
        <v>0</v>
      </c>
      <c r="F51" s="151"/>
      <c r="H51" s="207"/>
      <c r="I51" s="108"/>
      <c r="J51" s="64"/>
      <c r="K51" s="73"/>
      <c r="L51" s="69"/>
      <c r="M51" s="87"/>
      <c r="N51" s="88"/>
      <c r="O51" s="69"/>
      <c r="P51" s="69"/>
      <c r="Q51" s="69"/>
    </row>
    <row r="52" spans="1:17" ht="15.6" customHeight="1" x14ac:dyDescent="0.25">
      <c r="A52" s="396"/>
      <c r="B52" s="389"/>
      <c r="C52" s="380"/>
      <c r="D52" s="208" t="s">
        <v>181</v>
      </c>
      <c r="E52" s="209">
        <v>1</v>
      </c>
      <c r="F52" s="155" t="s">
        <v>32</v>
      </c>
      <c r="H52" s="210">
        <v>1</v>
      </c>
      <c r="I52" s="109" t="s">
        <v>74</v>
      </c>
      <c r="J52" s="64">
        <v>2</v>
      </c>
      <c r="K52" s="73">
        <f>INDEX($E$51:$E$55,J52)</f>
        <v>1</v>
      </c>
      <c r="L52" s="69"/>
      <c r="M52" s="89"/>
      <c r="N52" s="110"/>
      <c r="O52" s="69"/>
      <c r="P52" s="69"/>
      <c r="Q52" s="69"/>
    </row>
    <row r="53" spans="1:17" x14ac:dyDescent="0.25">
      <c r="A53" s="396"/>
      <c r="B53" s="389"/>
      <c r="C53" s="380"/>
      <c r="D53" s="208" t="s">
        <v>182</v>
      </c>
      <c r="E53" s="209">
        <v>1</v>
      </c>
      <c r="F53" s="157" t="s">
        <v>33</v>
      </c>
      <c r="H53" s="207">
        <v>1</v>
      </c>
      <c r="I53" s="108" t="s">
        <v>74</v>
      </c>
      <c r="J53" s="64"/>
      <c r="K53" s="73"/>
      <c r="L53" s="69"/>
      <c r="M53" s="69"/>
      <c r="N53" s="69"/>
      <c r="O53" s="69"/>
      <c r="P53" s="69"/>
      <c r="Q53" s="69"/>
    </row>
    <row r="54" spans="1:17" x14ac:dyDescent="0.25">
      <c r="A54" s="396"/>
      <c r="B54" s="389"/>
      <c r="C54" s="380"/>
      <c r="D54" s="208" t="s">
        <v>183</v>
      </c>
      <c r="E54" s="209">
        <v>1</v>
      </c>
      <c r="F54" s="157" t="s">
        <v>34</v>
      </c>
      <c r="H54" s="207">
        <v>1</v>
      </c>
      <c r="I54" s="108" t="s">
        <v>74</v>
      </c>
      <c r="J54" s="64"/>
      <c r="K54" s="73"/>
      <c r="L54" s="69"/>
      <c r="M54" s="69"/>
      <c r="N54" s="69"/>
      <c r="O54" s="69"/>
      <c r="P54" s="69"/>
      <c r="Q54" s="69"/>
    </row>
    <row r="55" spans="1:17" x14ac:dyDescent="0.25">
      <c r="A55" s="396"/>
      <c r="B55" s="390"/>
      <c r="C55" s="381"/>
      <c r="D55" s="211" t="s">
        <v>184</v>
      </c>
      <c r="E55" s="212">
        <v>1</v>
      </c>
      <c r="F55" s="160" t="s">
        <v>35</v>
      </c>
      <c r="H55" s="205">
        <v>1</v>
      </c>
      <c r="I55" s="107" t="s">
        <v>74</v>
      </c>
      <c r="J55" s="64"/>
      <c r="K55" s="73"/>
      <c r="L55" s="69"/>
      <c r="M55" s="69"/>
      <c r="N55" s="69"/>
      <c r="O55" s="69"/>
      <c r="P55" s="69"/>
      <c r="Q55" s="69"/>
    </row>
    <row r="56" spans="1:17" hidden="1" x14ac:dyDescent="0.25">
      <c r="A56" s="396" t="s">
        <v>154</v>
      </c>
      <c r="B56" s="388" t="s">
        <v>249</v>
      </c>
      <c r="C56" s="379" t="s">
        <v>2</v>
      </c>
      <c r="D56" s="198" t="s">
        <v>221</v>
      </c>
      <c r="E56" s="213">
        <v>0</v>
      </c>
      <c r="F56" s="157"/>
      <c r="H56" s="207"/>
      <c r="I56" s="108"/>
      <c r="J56" s="64"/>
      <c r="K56" s="73"/>
      <c r="L56" s="69"/>
      <c r="M56" s="69"/>
      <c r="N56" s="69"/>
      <c r="O56" s="69"/>
      <c r="P56" s="69"/>
      <c r="Q56" s="69"/>
    </row>
    <row r="57" spans="1:17" ht="14.45" customHeight="1" x14ac:dyDescent="0.25">
      <c r="A57" s="396"/>
      <c r="B57" s="389"/>
      <c r="C57" s="380"/>
      <c r="D57" s="214" t="s">
        <v>185</v>
      </c>
      <c r="E57" s="209">
        <v>1</v>
      </c>
      <c r="F57" s="155" t="s">
        <v>36</v>
      </c>
      <c r="G57" s="1"/>
      <c r="H57" s="210">
        <v>1</v>
      </c>
      <c r="I57" s="109" t="s">
        <v>74</v>
      </c>
      <c r="J57" s="64">
        <v>3</v>
      </c>
      <c r="K57" s="73">
        <f>INDEX($E$56:$E$61,J57)</f>
        <v>1</v>
      </c>
      <c r="L57" s="69"/>
      <c r="M57" s="306" t="s">
        <v>295</v>
      </c>
      <c r="N57" s="306" t="s">
        <v>292</v>
      </c>
      <c r="O57" s="306" t="s">
        <v>316</v>
      </c>
      <c r="P57" s="306" t="s">
        <v>317</v>
      </c>
      <c r="Q57" s="69" t="s">
        <v>315</v>
      </c>
    </row>
    <row r="58" spans="1:17" x14ac:dyDescent="0.25">
      <c r="A58" s="396"/>
      <c r="B58" s="389"/>
      <c r="C58" s="380"/>
      <c r="D58" s="214" t="s">
        <v>186</v>
      </c>
      <c r="E58" s="201">
        <v>1</v>
      </c>
      <c r="F58" s="151" t="s">
        <v>37</v>
      </c>
      <c r="H58" s="207">
        <v>1</v>
      </c>
      <c r="I58" s="108" t="s">
        <v>74</v>
      </c>
      <c r="J58" s="64"/>
      <c r="K58" s="73"/>
      <c r="L58" s="69"/>
      <c r="M58" s="92">
        <f>M43+M82</f>
        <v>4.0000000000000007E-6</v>
      </c>
      <c r="N58" s="92">
        <f t="shared" ref="N58:P58" si="0">N43+N82</f>
        <v>6.8199999999999999E-6</v>
      </c>
      <c r="O58" s="92">
        <f t="shared" si="0"/>
        <v>8.2199999999999992E-6</v>
      </c>
      <c r="P58" s="92">
        <f t="shared" si="0"/>
        <v>9.6400000000000009E-6</v>
      </c>
      <c r="Q58" s="334">
        <f>Q43+Q82</f>
        <v>1.1040000000000001E-5</v>
      </c>
    </row>
    <row r="59" spans="1:17" x14ac:dyDescent="0.25">
      <c r="A59" s="396"/>
      <c r="B59" s="389"/>
      <c r="C59" s="380"/>
      <c r="D59" s="214" t="s">
        <v>187</v>
      </c>
      <c r="E59" s="201">
        <v>1</v>
      </c>
      <c r="F59" s="151" t="s">
        <v>38</v>
      </c>
      <c r="H59" s="207">
        <v>1</v>
      </c>
      <c r="I59" s="108" t="s">
        <v>74</v>
      </c>
      <c r="J59" s="64"/>
      <c r="K59" s="73"/>
      <c r="L59" s="69"/>
      <c r="M59" s="92">
        <f>M43+M83</f>
        <v>0</v>
      </c>
      <c r="N59" s="92">
        <f t="shared" ref="N59:O59" si="1">N43+N83</f>
        <v>6.8199999999999999E-6</v>
      </c>
      <c r="O59" s="92">
        <f t="shared" si="1"/>
        <v>8.2199999999999992E-6</v>
      </c>
      <c r="P59" s="92">
        <f>P43+P83</f>
        <v>9.6400000000000009E-6</v>
      </c>
      <c r="Q59" s="334">
        <f>Q43+Q83</f>
        <v>1.1040000000000001E-5</v>
      </c>
    </row>
    <row r="60" spans="1:17" x14ac:dyDescent="0.25">
      <c r="A60" s="396"/>
      <c r="B60" s="389"/>
      <c r="C60" s="380"/>
      <c r="D60" s="214" t="s">
        <v>188</v>
      </c>
      <c r="E60" s="201">
        <v>1</v>
      </c>
      <c r="F60" s="151" t="s">
        <v>39</v>
      </c>
      <c r="H60" s="207">
        <v>1</v>
      </c>
      <c r="I60" s="108" t="s">
        <v>74</v>
      </c>
      <c r="J60" s="64"/>
      <c r="K60" s="73"/>
      <c r="L60" s="69"/>
      <c r="M60" s="69"/>
      <c r="N60" s="69"/>
      <c r="O60" s="69"/>
      <c r="P60" s="69"/>
      <c r="Q60" s="69"/>
    </row>
    <row r="61" spans="1:17" x14ac:dyDescent="0.25">
      <c r="A61" s="396"/>
      <c r="B61" s="390"/>
      <c r="C61" s="381"/>
      <c r="D61" s="215" t="s">
        <v>189</v>
      </c>
      <c r="E61" s="204">
        <v>1</v>
      </c>
      <c r="F61" s="149" t="s">
        <v>40</v>
      </c>
      <c r="H61" s="205">
        <v>1</v>
      </c>
      <c r="I61" s="107" t="s">
        <v>74</v>
      </c>
      <c r="J61" s="64"/>
      <c r="K61" s="73"/>
      <c r="L61" s="69"/>
      <c r="M61" s="69"/>
      <c r="N61" s="69"/>
      <c r="O61" s="69"/>
      <c r="P61" s="69"/>
      <c r="Q61" s="69"/>
    </row>
    <row r="62" spans="1:17" hidden="1" x14ac:dyDescent="0.25">
      <c r="A62" s="20" t="s">
        <v>155</v>
      </c>
      <c r="B62" s="214" t="s">
        <v>174</v>
      </c>
      <c r="C62" s="216" t="s">
        <v>65</v>
      </c>
      <c r="D62" s="214" t="s">
        <v>71</v>
      </c>
      <c r="E62" s="217" t="s">
        <v>73</v>
      </c>
      <c r="F62" s="157" t="s">
        <v>75</v>
      </c>
      <c r="H62" s="218" t="s">
        <v>71</v>
      </c>
      <c r="I62" s="111" t="s">
        <v>121</v>
      </c>
      <c r="J62" s="64"/>
      <c r="K62" s="73"/>
      <c r="L62" s="69"/>
      <c r="M62" s="69"/>
      <c r="N62" s="69"/>
      <c r="O62" s="69"/>
      <c r="P62" s="69"/>
      <c r="Q62" s="69"/>
    </row>
    <row r="63" spans="1:17" hidden="1" x14ac:dyDescent="0.25">
      <c r="A63" s="396" t="s">
        <v>156</v>
      </c>
      <c r="B63" s="399" t="s">
        <v>217</v>
      </c>
      <c r="C63" s="379" t="s">
        <v>3</v>
      </c>
      <c r="D63" s="198" t="s">
        <v>221</v>
      </c>
      <c r="E63" s="219">
        <v>0</v>
      </c>
      <c r="F63" s="157"/>
      <c r="H63" s="220"/>
      <c r="I63" s="112"/>
      <c r="J63" s="64"/>
      <c r="K63" s="73"/>
      <c r="L63" s="69"/>
      <c r="M63" s="69"/>
      <c r="N63" s="69"/>
      <c r="O63" s="69"/>
      <c r="P63" s="69"/>
      <c r="Q63" s="69"/>
    </row>
    <row r="64" spans="1:17" hidden="1" x14ac:dyDescent="0.25">
      <c r="A64" s="396"/>
      <c r="B64" s="400"/>
      <c r="C64" s="380"/>
      <c r="D64" s="214" t="s">
        <v>190</v>
      </c>
      <c r="E64" s="201">
        <v>1</v>
      </c>
      <c r="F64" s="145" t="s">
        <v>49</v>
      </c>
      <c r="H64" s="202">
        <v>1</v>
      </c>
      <c r="I64" s="106" t="s">
        <v>74</v>
      </c>
      <c r="J64" s="64">
        <v>3</v>
      </c>
      <c r="K64" s="73">
        <f>INDEX($E$63:$E$65,J64)</f>
        <v>1</v>
      </c>
      <c r="L64" s="69"/>
      <c r="M64" s="69"/>
      <c r="N64" s="69"/>
      <c r="O64" s="69"/>
      <c r="P64" s="69"/>
      <c r="Q64" s="69"/>
    </row>
    <row r="65" spans="1:17" hidden="1" x14ac:dyDescent="0.25">
      <c r="A65" s="396"/>
      <c r="B65" s="221"/>
      <c r="C65" s="381"/>
      <c r="D65" s="215" t="s">
        <v>192</v>
      </c>
      <c r="E65" s="201">
        <v>1</v>
      </c>
      <c r="F65" s="149" t="s">
        <v>50</v>
      </c>
      <c r="H65" s="205">
        <v>1</v>
      </c>
      <c r="I65" s="107" t="s">
        <v>74</v>
      </c>
      <c r="J65" s="64"/>
      <c r="K65" s="73"/>
      <c r="L65" s="69"/>
      <c r="M65" s="69"/>
      <c r="N65" s="69"/>
      <c r="O65" s="69"/>
      <c r="P65" s="69"/>
      <c r="Q65" s="69"/>
    </row>
    <row r="66" spans="1:17" x14ac:dyDescent="0.25">
      <c r="A66" s="20" t="s">
        <v>157</v>
      </c>
      <c r="B66" s="222" t="s">
        <v>166</v>
      </c>
      <c r="C66" s="223" t="s">
        <v>4</v>
      </c>
      <c r="D66" s="224" t="s">
        <v>227</v>
      </c>
      <c r="E66" s="225">
        <v>1</v>
      </c>
      <c r="F66" s="175" t="s">
        <v>41</v>
      </c>
      <c r="H66" s="226">
        <v>1</v>
      </c>
      <c r="I66" s="113" t="s">
        <v>121</v>
      </c>
      <c r="J66" s="64">
        <v>1</v>
      </c>
      <c r="K66" s="73">
        <v>1</v>
      </c>
      <c r="L66" s="114"/>
      <c r="M66" s="69"/>
      <c r="N66" s="69"/>
      <c r="O66" s="69"/>
      <c r="P66" s="69"/>
      <c r="Q66" s="69"/>
    </row>
    <row r="67" spans="1:17" hidden="1" x14ac:dyDescent="0.25">
      <c r="A67" s="396" t="s">
        <v>158</v>
      </c>
      <c r="B67" s="379" t="s">
        <v>309</v>
      </c>
      <c r="C67" s="379" t="s">
        <v>5</v>
      </c>
      <c r="D67" s="198" t="s">
        <v>221</v>
      </c>
      <c r="E67" s="206">
        <v>0</v>
      </c>
      <c r="F67" s="145"/>
      <c r="H67" s="227"/>
      <c r="I67" s="115"/>
      <c r="J67" s="64"/>
      <c r="K67" s="73"/>
      <c r="L67" s="69"/>
      <c r="M67" s="69"/>
      <c r="N67" s="69"/>
      <c r="O67" s="69"/>
      <c r="P67" s="69"/>
      <c r="Q67" s="69"/>
    </row>
    <row r="68" spans="1:17" x14ac:dyDescent="0.25">
      <c r="A68" s="396"/>
      <c r="B68" s="380"/>
      <c r="C68" s="380"/>
      <c r="D68" s="214" t="s">
        <v>12</v>
      </c>
      <c r="E68" s="201">
        <v>1</v>
      </c>
      <c r="F68" s="145" t="s">
        <v>42</v>
      </c>
      <c r="H68" s="202">
        <v>1</v>
      </c>
      <c r="I68" s="106" t="s">
        <v>74</v>
      </c>
      <c r="J68" s="64">
        <v>4</v>
      </c>
      <c r="K68" s="73">
        <f>INDEX($E$67:$E$70,J68)</f>
        <v>1</v>
      </c>
      <c r="L68" s="69"/>
      <c r="M68" s="69"/>
      <c r="N68" s="69"/>
      <c r="O68" s="69"/>
      <c r="P68" s="69"/>
      <c r="Q68" s="69"/>
    </row>
    <row r="69" spans="1:17" x14ac:dyDescent="0.25">
      <c r="A69" s="396"/>
      <c r="B69" s="380"/>
      <c r="C69" s="380"/>
      <c r="D69" s="214" t="s">
        <v>51</v>
      </c>
      <c r="E69" s="201">
        <v>1</v>
      </c>
      <c r="F69" s="151" t="s">
        <v>43</v>
      </c>
      <c r="H69" s="207">
        <v>1</v>
      </c>
      <c r="I69" s="108" t="s">
        <v>74</v>
      </c>
      <c r="J69" s="64"/>
      <c r="K69" s="73"/>
      <c r="L69" s="69"/>
      <c r="M69" s="69"/>
      <c r="N69" s="69"/>
      <c r="O69" s="69"/>
      <c r="P69" s="69"/>
      <c r="Q69" s="69"/>
    </row>
    <row r="70" spans="1:17" x14ac:dyDescent="0.25">
      <c r="A70" s="396"/>
      <c r="B70" s="381"/>
      <c r="C70" s="381"/>
      <c r="D70" s="215" t="s">
        <v>52</v>
      </c>
      <c r="E70" s="204">
        <v>1</v>
      </c>
      <c r="F70" s="149" t="s">
        <v>44</v>
      </c>
      <c r="H70" s="205">
        <v>1</v>
      </c>
      <c r="I70" s="107" t="s">
        <v>74</v>
      </c>
      <c r="J70" s="64"/>
      <c r="K70" s="73"/>
      <c r="L70" s="69"/>
      <c r="M70" s="69"/>
      <c r="N70" s="69"/>
      <c r="O70" s="69"/>
      <c r="P70" s="69"/>
      <c r="Q70" s="69"/>
    </row>
    <row r="71" spans="1:17" hidden="1" x14ac:dyDescent="0.25">
      <c r="A71" s="20" t="s">
        <v>159</v>
      </c>
      <c r="B71" s="228" t="s">
        <v>168</v>
      </c>
      <c r="C71" s="229" t="s">
        <v>66</v>
      </c>
      <c r="D71" s="215" t="s">
        <v>71</v>
      </c>
      <c r="E71" s="230" t="s">
        <v>73</v>
      </c>
      <c r="F71" s="160" t="s">
        <v>75</v>
      </c>
      <c r="G71" s="140"/>
      <c r="H71" s="166" t="s">
        <v>71</v>
      </c>
      <c r="I71" s="93" t="s">
        <v>121</v>
      </c>
      <c r="J71" s="64"/>
      <c r="K71" s="73"/>
      <c r="L71" s="69"/>
      <c r="M71" s="69"/>
      <c r="N71" s="69"/>
      <c r="O71" s="69"/>
      <c r="P71" s="69"/>
      <c r="Q71" s="69"/>
    </row>
    <row r="72" spans="1:17" hidden="1" x14ac:dyDescent="0.25">
      <c r="A72" s="20" t="s">
        <v>160</v>
      </c>
      <c r="B72" s="231" t="s">
        <v>169</v>
      </c>
      <c r="C72" s="223" t="s">
        <v>67</v>
      </c>
      <c r="D72" s="224" t="s">
        <v>71</v>
      </c>
      <c r="E72" s="232" t="s">
        <v>73</v>
      </c>
      <c r="F72" s="179" t="s">
        <v>75</v>
      </c>
      <c r="G72" s="140"/>
      <c r="H72" s="166" t="s">
        <v>71</v>
      </c>
      <c r="I72" s="93" t="s">
        <v>121</v>
      </c>
      <c r="J72" s="64"/>
      <c r="K72" s="73"/>
      <c r="L72" s="69"/>
      <c r="M72" s="69"/>
      <c r="N72" s="69"/>
      <c r="O72" s="69"/>
      <c r="P72" s="69"/>
      <c r="Q72" s="69"/>
    </row>
    <row r="73" spans="1:17" hidden="1" x14ac:dyDescent="0.25">
      <c r="A73" s="20" t="s">
        <v>161</v>
      </c>
      <c r="B73" s="233" t="s">
        <v>170</v>
      </c>
      <c r="C73" s="223" t="s">
        <v>68</v>
      </c>
      <c r="D73" s="224" t="s">
        <v>71</v>
      </c>
      <c r="E73" s="232" t="s">
        <v>73</v>
      </c>
      <c r="F73" s="179" t="s">
        <v>75</v>
      </c>
      <c r="G73" s="140"/>
      <c r="H73" s="166" t="s">
        <v>71</v>
      </c>
      <c r="I73" s="93" t="s">
        <v>121</v>
      </c>
      <c r="J73" s="64"/>
      <c r="K73" s="73"/>
      <c r="L73" s="69"/>
      <c r="M73" s="69"/>
      <c r="N73" s="69"/>
      <c r="O73" s="69"/>
      <c r="P73" s="69"/>
      <c r="Q73" s="69"/>
    </row>
    <row r="74" spans="1:17" hidden="1" x14ac:dyDescent="0.25">
      <c r="A74" s="20" t="s">
        <v>162</v>
      </c>
      <c r="B74" s="231" t="s">
        <v>171</v>
      </c>
      <c r="C74" s="223" t="s">
        <v>69</v>
      </c>
      <c r="D74" s="224" t="s">
        <v>71</v>
      </c>
      <c r="E74" s="232" t="s">
        <v>73</v>
      </c>
      <c r="F74" s="179" t="s">
        <v>75</v>
      </c>
      <c r="G74" s="140"/>
      <c r="H74" s="166" t="s">
        <v>71</v>
      </c>
      <c r="I74" s="93" t="s">
        <v>121</v>
      </c>
      <c r="J74" s="64"/>
      <c r="K74" s="73"/>
      <c r="L74" s="69"/>
      <c r="M74" s="69"/>
      <c r="N74" s="69"/>
      <c r="O74" s="69"/>
      <c r="P74" s="69"/>
      <c r="Q74" s="69"/>
    </row>
    <row r="75" spans="1:17" hidden="1" x14ac:dyDescent="0.25">
      <c r="A75" s="20" t="s">
        <v>163</v>
      </c>
      <c r="B75" s="234" t="s">
        <v>172</v>
      </c>
      <c r="C75" s="235" t="s">
        <v>70</v>
      </c>
      <c r="D75" s="236" t="s">
        <v>71</v>
      </c>
      <c r="E75" s="219" t="s">
        <v>73</v>
      </c>
      <c r="F75" s="155" t="s">
        <v>75</v>
      </c>
      <c r="G75" s="140"/>
      <c r="H75" s="166" t="s">
        <v>71</v>
      </c>
      <c r="I75" s="93" t="s">
        <v>121</v>
      </c>
      <c r="J75" s="64"/>
      <c r="K75" s="73"/>
      <c r="L75" s="69"/>
      <c r="M75" s="69"/>
      <c r="N75" s="69"/>
      <c r="O75" s="69"/>
      <c r="P75" s="69"/>
      <c r="Q75" s="69"/>
    </row>
    <row r="76" spans="1:17" x14ac:dyDescent="0.25">
      <c r="A76" s="396" t="s">
        <v>164</v>
      </c>
      <c r="B76" s="397" t="s">
        <v>311</v>
      </c>
      <c r="C76" s="380" t="s">
        <v>6</v>
      </c>
      <c r="D76" s="214" t="s">
        <v>191</v>
      </c>
      <c r="E76" s="209">
        <v>2</v>
      </c>
      <c r="F76" s="155" t="s">
        <v>45</v>
      </c>
      <c r="H76" s="210">
        <v>1</v>
      </c>
      <c r="I76" s="109" t="s">
        <v>74</v>
      </c>
      <c r="J76" s="84">
        <v>2</v>
      </c>
      <c r="K76" s="73">
        <f>INDEX($E$76:$E$77,J76)</f>
        <v>1</v>
      </c>
      <c r="L76" s="69"/>
      <c r="M76" s="69"/>
      <c r="N76" s="69"/>
      <c r="O76" s="69"/>
      <c r="P76" s="69"/>
      <c r="Q76" s="69"/>
    </row>
    <row r="77" spans="1:17" x14ac:dyDescent="0.25">
      <c r="A77" s="396"/>
      <c r="B77" s="398"/>
      <c r="C77" s="381"/>
      <c r="D77" s="215" t="s">
        <v>226</v>
      </c>
      <c r="E77" s="204">
        <v>1</v>
      </c>
      <c r="F77" s="149" t="s">
        <v>46</v>
      </c>
      <c r="H77" s="205">
        <v>1</v>
      </c>
      <c r="I77" s="107" t="s">
        <v>74</v>
      </c>
      <c r="J77" s="64"/>
      <c r="K77" s="73"/>
      <c r="L77" s="69"/>
      <c r="M77" s="69"/>
      <c r="N77" s="69"/>
      <c r="O77" s="69"/>
      <c r="P77" s="69"/>
      <c r="Q77" s="69"/>
    </row>
    <row r="78" spans="1:17" x14ac:dyDescent="0.25">
      <c r="A78" s="396" t="s">
        <v>199</v>
      </c>
      <c r="B78" s="236" t="s">
        <v>197</v>
      </c>
      <c r="C78" s="235" t="s">
        <v>194</v>
      </c>
      <c r="D78" s="236" t="s">
        <v>198</v>
      </c>
      <c r="E78" s="237">
        <v>0.02</v>
      </c>
      <c r="F78" s="184"/>
      <c r="G78" s="140"/>
      <c r="H78" s="185"/>
      <c r="I78" s="98"/>
      <c r="J78" s="64"/>
      <c r="K78" s="99">
        <f>K49*K52*K57*K66*K68*K38</f>
        <v>1</v>
      </c>
      <c r="L78" s="69" t="s">
        <v>210</v>
      </c>
      <c r="M78" s="92"/>
      <c r="N78" s="116"/>
      <c r="O78" s="69"/>
      <c r="P78" s="69"/>
      <c r="Q78" s="69"/>
    </row>
    <row r="79" spans="1:17" ht="15" customHeight="1" x14ac:dyDescent="0.25">
      <c r="A79" s="396"/>
      <c r="B79" s="215" t="s">
        <v>211</v>
      </c>
      <c r="C79" s="229" t="s">
        <v>207</v>
      </c>
      <c r="D79" s="215" t="s">
        <v>212</v>
      </c>
      <c r="E79" s="238">
        <f>0.002156*$O$1</f>
        <v>6.2718040000000003E-2</v>
      </c>
      <c r="F79" s="184"/>
      <c r="G79" s="140"/>
      <c r="H79" s="185"/>
      <c r="I79" s="98"/>
      <c r="J79" s="64"/>
      <c r="K79" s="117">
        <f>IF(K40=0,0,K78*E78)</f>
        <v>0</v>
      </c>
      <c r="L79" s="69" t="s">
        <v>209</v>
      </c>
      <c r="M79" s="73" t="s">
        <v>304</v>
      </c>
      <c r="N79" s="297">
        <f>1*M7</f>
        <v>3.4099999999999998E-2</v>
      </c>
      <c r="O79" s="297">
        <f>1*M11</f>
        <v>4.1099999999999998E-2</v>
      </c>
      <c r="P79" s="297">
        <f>1*M15</f>
        <v>4.82E-2</v>
      </c>
      <c r="Q79" s="297">
        <f>1*M19</f>
        <v>5.5199999999999999E-2</v>
      </c>
    </row>
    <row r="80" spans="1:17" ht="15" hidden="1" customHeight="1" x14ac:dyDescent="0.25">
      <c r="A80" s="6"/>
      <c r="B80" s="187"/>
      <c r="C80" s="6"/>
      <c r="D80" s="187"/>
      <c r="E80" s="239"/>
      <c r="F80" s="184"/>
      <c r="G80" s="140"/>
      <c r="H80" s="185"/>
      <c r="I80" s="98"/>
      <c r="J80" s="64"/>
      <c r="K80" s="69">
        <f>(K42-K110)/K42</f>
        <v>1</v>
      </c>
      <c r="L80" s="102" t="s">
        <v>243</v>
      </c>
      <c r="M80" s="73" t="s">
        <v>296</v>
      </c>
      <c r="N80" s="297">
        <f>K78*M7</f>
        <v>3.4099999999999998E-2</v>
      </c>
      <c r="O80" s="297">
        <f>K78*M11</f>
        <v>4.1099999999999998E-2</v>
      </c>
      <c r="P80" s="297">
        <f>K78*M15</f>
        <v>4.82E-2</v>
      </c>
      <c r="Q80" s="69">
        <f>K78*M19</f>
        <v>5.5199999999999999E-2</v>
      </c>
    </row>
    <row r="81" spans="1:17" ht="13.9" hidden="1" customHeight="1" x14ac:dyDescent="0.25">
      <c r="A81" s="6"/>
      <c r="B81" s="187"/>
      <c r="C81" s="6"/>
      <c r="D81" s="187"/>
      <c r="E81" s="239"/>
      <c r="F81" s="184"/>
      <c r="G81" s="140"/>
      <c r="H81" s="185"/>
      <c r="I81" s="98"/>
      <c r="J81" s="64"/>
      <c r="K81" s="129">
        <f>K80*K42</f>
        <v>2.0000000000000001E-4</v>
      </c>
      <c r="L81" s="69" t="s">
        <v>244</v>
      </c>
      <c r="M81" s="306" t="s">
        <v>295</v>
      </c>
      <c r="N81" s="306" t="s">
        <v>292</v>
      </c>
      <c r="O81" s="306" t="s">
        <v>316</v>
      </c>
      <c r="P81" s="306" t="s">
        <v>317</v>
      </c>
      <c r="Q81" s="69" t="s">
        <v>315</v>
      </c>
    </row>
    <row r="82" spans="1:17" hidden="1" x14ac:dyDescent="0.25">
      <c r="E82" s="189"/>
      <c r="H82" s="190"/>
      <c r="I82" s="69"/>
      <c r="J82" s="64"/>
      <c r="K82" s="118">
        <f>IF(E78&gt;E79,E79,E78)*K81</f>
        <v>4.0000000000000007E-6</v>
      </c>
      <c r="L82" s="69" t="s">
        <v>215</v>
      </c>
      <c r="M82" s="312">
        <f>IF(M2&gt;E79,E79,M2)*K81</f>
        <v>4.0000000000000007E-6</v>
      </c>
      <c r="N82" s="312">
        <f>IF(M7&gt;O7,O7,M7)*K81</f>
        <v>6.8199999999999999E-6</v>
      </c>
      <c r="O82" s="312">
        <f>IF(M11&gt;O11,O11,M11)*K81</f>
        <v>8.2199999999999992E-6</v>
      </c>
      <c r="P82" s="312">
        <f>IF(M15&gt;O15,O15,M15)*K81</f>
        <v>9.6400000000000009E-6</v>
      </c>
      <c r="Q82" s="69">
        <f>IF(M19&gt;O19,O19,M19)*K81</f>
        <v>1.1040000000000001E-5</v>
      </c>
    </row>
    <row r="83" spans="1:17" x14ac:dyDescent="0.25">
      <c r="E83" s="189"/>
      <c r="H83" s="190"/>
      <c r="I83" s="69"/>
      <c r="J83" s="64"/>
      <c r="K83" s="103"/>
      <c r="L83" s="69"/>
      <c r="M83" s="315">
        <f>IF(K79&gt;E79,E79,K79)*K81</f>
        <v>0</v>
      </c>
      <c r="N83" s="315">
        <f>IF(N80&gt;O7,O7,N80)*K81</f>
        <v>6.8199999999999999E-6</v>
      </c>
      <c r="O83" s="315">
        <f>IF(O80&gt;O11,O11,O80)*K81</f>
        <v>8.2199999999999992E-6</v>
      </c>
      <c r="P83" s="315">
        <f>IF(P80&gt;O15,O15,P80)*K81</f>
        <v>9.6400000000000009E-6</v>
      </c>
      <c r="Q83" s="69">
        <f>IF(Q80&gt;O19,O19,Q80)*K81</f>
        <v>1.1040000000000001E-5</v>
      </c>
    </row>
    <row r="84" spans="1:17" x14ac:dyDescent="0.25">
      <c r="B84" s="385" t="s">
        <v>267</v>
      </c>
      <c r="C84" s="385"/>
      <c r="D84" s="385"/>
      <c r="E84" s="385"/>
      <c r="F84" s="240"/>
      <c r="H84" s="241"/>
      <c r="I84" s="119"/>
      <c r="J84" s="64"/>
      <c r="K84" s="73"/>
      <c r="L84" s="69"/>
      <c r="M84" s="312">
        <f>IF(K79&gt;E79,E79,K79)*K81</f>
        <v>0</v>
      </c>
      <c r="N84" s="312">
        <f>IF(N79&gt;O7,O7,N79)*K81</f>
        <v>6.8199999999999999E-6</v>
      </c>
      <c r="O84" s="312">
        <f>IF(O79&gt;O11,O11,O79)*K81</f>
        <v>8.2199999999999992E-6</v>
      </c>
      <c r="P84" s="312">
        <f>IF(P79&gt;O15,O15,P79)*K81</f>
        <v>9.6400000000000009E-6</v>
      </c>
      <c r="Q84" s="69">
        <f>IF(Q79&gt;O19,O19,Q79)*K81</f>
        <v>1.1040000000000001E-5</v>
      </c>
    </row>
    <row r="85" spans="1:17" x14ac:dyDescent="0.25">
      <c r="B85" s="242"/>
      <c r="C85" s="243"/>
      <c r="D85" s="244"/>
      <c r="E85" s="243"/>
      <c r="H85" s="190"/>
      <c r="I85" s="77" t="s">
        <v>87</v>
      </c>
      <c r="J85" s="64"/>
      <c r="K85" s="73"/>
      <c r="L85" s="69"/>
      <c r="M85" s="69"/>
      <c r="N85" s="69"/>
      <c r="O85" s="69"/>
      <c r="P85" s="69"/>
      <c r="Q85" s="69"/>
    </row>
    <row r="86" spans="1:17" x14ac:dyDescent="0.25">
      <c r="B86" s="245" t="s">
        <v>205</v>
      </c>
      <c r="C86" s="245" t="s">
        <v>10</v>
      </c>
      <c r="D86" s="245" t="s">
        <v>204</v>
      </c>
      <c r="E86" s="245" t="s">
        <v>178</v>
      </c>
      <c r="F86" s="139" t="s">
        <v>11</v>
      </c>
      <c r="G86" s="140"/>
      <c r="H86" s="246" t="s">
        <v>72</v>
      </c>
      <c r="I86" s="79" t="s">
        <v>85</v>
      </c>
      <c r="J86" s="64"/>
      <c r="K86" s="73"/>
      <c r="L86" s="69"/>
      <c r="M86" s="69"/>
      <c r="N86" s="69"/>
      <c r="O86" s="69"/>
      <c r="P86" s="69"/>
      <c r="Q86" s="69"/>
    </row>
    <row r="87" spans="1:17" x14ac:dyDescent="0.25">
      <c r="A87" s="396" t="s">
        <v>152</v>
      </c>
      <c r="B87" s="420" t="s">
        <v>251</v>
      </c>
      <c r="C87" s="382" t="s">
        <v>7</v>
      </c>
      <c r="D87" s="247" t="s">
        <v>222</v>
      </c>
      <c r="E87" s="321">
        <v>0</v>
      </c>
      <c r="F87" s="143"/>
      <c r="G87" s="140"/>
      <c r="H87" s="248"/>
      <c r="I87" s="80"/>
      <c r="J87" s="64"/>
      <c r="K87" s="73"/>
      <c r="L87" s="69"/>
      <c r="M87" s="69"/>
      <c r="N87" s="69"/>
      <c r="O87" s="69"/>
      <c r="P87" s="69"/>
      <c r="Q87" s="69"/>
    </row>
    <row r="88" spans="1:17" ht="15.6" customHeight="1" x14ac:dyDescent="0.25">
      <c r="A88" s="396"/>
      <c r="B88" s="421"/>
      <c r="C88" s="383"/>
      <c r="D88" s="249" t="s">
        <v>182</v>
      </c>
      <c r="E88" s="250">
        <v>1</v>
      </c>
      <c r="F88" s="155" t="s">
        <v>55</v>
      </c>
      <c r="H88" s="251">
        <v>1</v>
      </c>
      <c r="I88" s="120" t="s">
        <v>121</v>
      </c>
      <c r="J88" s="64">
        <v>1</v>
      </c>
      <c r="K88" s="73">
        <f>INDEX($E$87:$E$90,J88)</f>
        <v>0</v>
      </c>
      <c r="L88" s="69"/>
      <c r="M88" s="87"/>
      <c r="N88" s="88"/>
      <c r="O88" s="69"/>
      <c r="P88" s="69"/>
      <c r="Q88" s="69"/>
    </row>
    <row r="89" spans="1:17" ht="15.75" x14ac:dyDescent="0.25">
      <c r="A89" s="396"/>
      <c r="B89" s="421"/>
      <c r="C89" s="383"/>
      <c r="D89" s="249" t="s">
        <v>183</v>
      </c>
      <c r="E89" s="250">
        <v>1</v>
      </c>
      <c r="F89" s="157" t="s">
        <v>56</v>
      </c>
      <c r="H89" s="251">
        <v>0.95</v>
      </c>
      <c r="I89" s="120" t="s">
        <v>121</v>
      </c>
      <c r="J89" s="64"/>
      <c r="K89" s="73"/>
      <c r="L89" s="69"/>
      <c r="M89" s="121"/>
      <c r="N89" s="122"/>
      <c r="O89" s="69"/>
      <c r="P89" s="69"/>
      <c r="Q89" s="69"/>
    </row>
    <row r="90" spans="1:17" x14ac:dyDescent="0.25">
      <c r="A90" s="396"/>
      <c r="B90" s="425"/>
      <c r="C90" s="384"/>
      <c r="D90" s="252" t="s">
        <v>184</v>
      </c>
      <c r="E90" s="253">
        <v>1</v>
      </c>
      <c r="F90" s="157" t="s">
        <v>57</v>
      </c>
      <c r="H90" s="251">
        <v>0.9</v>
      </c>
      <c r="I90" s="120" t="s">
        <v>121</v>
      </c>
      <c r="J90" s="64"/>
      <c r="K90" s="73"/>
      <c r="L90" s="69"/>
      <c r="M90" s="69"/>
      <c r="N90" s="69"/>
      <c r="O90" s="69"/>
      <c r="P90" s="69"/>
      <c r="Q90" s="69"/>
    </row>
    <row r="91" spans="1:17" hidden="1" x14ac:dyDescent="0.25">
      <c r="A91" s="20" t="s">
        <v>153</v>
      </c>
      <c r="B91" s="254" t="s">
        <v>165</v>
      </c>
      <c r="C91" s="255" t="s">
        <v>134</v>
      </c>
      <c r="D91" s="249" t="s">
        <v>71</v>
      </c>
      <c r="E91" s="250" t="s">
        <v>73</v>
      </c>
      <c r="F91" s="256" t="s">
        <v>75</v>
      </c>
      <c r="H91" s="167" t="s">
        <v>71</v>
      </c>
      <c r="I91" s="83" t="s">
        <v>121</v>
      </c>
      <c r="J91" s="64"/>
      <c r="K91" s="73"/>
      <c r="L91" s="69"/>
      <c r="M91" s="69"/>
      <c r="N91" s="69"/>
      <c r="O91" s="69"/>
      <c r="P91" s="69"/>
      <c r="Q91" s="69"/>
    </row>
    <row r="92" spans="1:17" hidden="1" x14ac:dyDescent="0.25">
      <c r="A92" s="396" t="s">
        <v>154</v>
      </c>
      <c r="B92" s="420" t="s">
        <v>252</v>
      </c>
      <c r="C92" s="382" t="s">
        <v>8</v>
      </c>
      <c r="D92" s="247" t="s">
        <v>222</v>
      </c>
      <c r="E92" s="322">
        <v>0</v>
      </c>
      <c r="F92" s="6"/>
      <c r="H92" s="167"/>
      <c r="I92" s="123"/>
      <c r="J92" s="64"/>
      <c r="K92" s="73"/>
      <c r="L92" s="69"/>
      <c r="M92" s="69"/>
      <c r="N92" s="69"/>
      <c r="O92" s="69"/>
      <c r="P92" s="69"/>
      <c r="Q92" s="69"/>
    </row>
    <row r="93" spans="1:17" ht="14.45" customHeight="1" x14ac:dyDescent="0.25">
      <c r="A93" s="396"/>
      <c r="B93" s="421"/>
      <c r="C93" s="383"/>
      <c r="D93" s="257" t="s">
        <v>53</v>
      </c>
      <c r="E93" s="323" t="s">
        <v>235</v>
      </c>
      <c r="F93" s="6" t="s">
        <v>58</v>
      </c>
      <c r="H93" s="258">
        <v>0.8</v>
      </c>
      <c r="I93" s="124" t="s">
        <v>121</v>
      </c>
      <c r="J93" s="64"/>
      <c r="K93" s="125">
        <f>IF(simulador!C20&lt;=80,1,IF(simulador!C20&lt;95,((31-0.2*simulador!C20)/15),(16-0.16*simulador!C20)))</f>
        <v>1</v>
      </c>
      <c r="L93" s="69"/>
      <c r="M93" s="69"/>
      <c r="N93" s="69"/>
      <c r="O93" s="69"/>
      <c r="P93" s="69"/>
      <c r="Q93" s="69"/>
    </row>
    <row r="94" spans="1:17" ht="14.45" customHeight="1" x14ac:dyDescent="0.25">
      <c r="A94" s="396"/>
      <c r="B94" s="421"/>
      <c r="C94" s="383"/>
      <c r="D94" s="259" t="s">
        <v>228</v>
      </c>
      <c r="E94" s="378" t="s">
        <v>236</v>
      </c>
      <c r="F94" s="6" t="s">
        <v>59</v>
      </c>
      <c r="H94" s="258">
        <v>0.85</v>
      </c>
      <c r="I94" s="124" t="s">
        <v>121</v>
      </c>
      <c r="J94" s="64"/>
      <c r="K94" s="73"/>
      <c r="L94" s="69"/>
      <c r="M94" s="69"/>
      <c r="N94" s="69"/>
      <c r="O94" s="69"/>
      <c r="P94" s="69"/>
      <c r="Q94" s="69"/>
    </row>
    <row r="95" spans="1:17" x14ac:dyDescent="0.25">
      <c r="A95" s="396"/>
      <c r="B95" s="421"/>
      <c r="C95" s="383"/>
      <c r="D95" s="259" t="s">
        <v>83</v>
      </c>
      <c r="E95" s="378"/>
      <c r="F95" s="6" t="s">
        <v>81</v>
      </c>
      <c r="H95" s="258">
        <v>0.9</v>
      </c>
      <c r="I95" s="124" t="s">
        <v>121</v>
      </c>
      <c r="J95" s="64"/>
      <c r="K95" s="73"/>
      <c r="L95" s="69"/>
      <c r="M95" s="69"/>
      <c r="N95" s="69"/>
      <c r="O95" s="69"/>
      <c r="P95" s="69"/>
      <c r="Q95" s="69"/>
    </row>
    <row r="96" spans="1:17" x14ac:dyDescent="0.25">
      <c r="A96" s="396"/>
      <c r="B96" s="421"/>
      <c r="C96" s="383"/>
      <c r="D96" s="259" t="s">
        <v>84</v>
      </c>
      <c r="E96" s="378"/>
      <c r="F96" s="260" t="s">
        <v>82</v>
      </c>
      <c r="H96" s="261">
        <v>0.95</v>
      </c>
      <c r="I96" s="120" t="s">
        <v>121</v>
      </c>
      <c r="J96" s="64"/>
      <c r="K96" s="73"/>
      <c r="L96" s="69"/>
      <c r="M96" s="69"/>
      <c r="N96" s="69"/>
      <c r="O96" s="69"/>
      <c r="P96" s="69"/>
      <c r="Q96" s="69"/>
    </row>
    <row r="97" spans="1:17" x14ac:dyDescent="0.25">
      <c r="A97" s="396"/>
      <c r="B97" s="262" t="s">
        <v>88</v>
      </c>
      <c r="C97" s="384"/>
      <c r="D97" s="263" t="s">
        <v>54</v>
      </c>
      <c r="E97" s="324">
        <v>1</v>
      </c>
      <c r="F97" s="264" t="s">
        <v>60</v>
      </c>
      <c r="H97" s="265">
        <v>1</v>
      </c>
      <c r="I97" s="107" t="s">
        <v>74</v>
      </c>
      <c r="J97" s="64"/>
      <c r="K97" s="73"/>
      <c r="L97" s="69"/>
      <c r="M97" s="69"/>
      <c r="N97" s="69"/>
      <c r="O97" s="69"/>
      <c r="P97" s="69"/>
      <c r="Q97" s="69"/>
    </row>
    <row r="98" spans="1:17" x14ac:dyDescent="0.25">
      <c r="A98" s="396" t="s">
        <v>155</v>
      </c>
      <c r="B98" s="382" t="s">
        <v>253</v>
      </c>
      <c r="C98" s="382" t="s">
        <v>9</v>
      </c>
      <c r="D98" s="247" t="s">
        <v>222</v>
      </c>
      <c r="E98" s="325">
        <v>0</v>
      </c>
      <c r="F98" s="266"/>
      <c r="H98" s="267"/>
      <c r="I98" s="108"/>
      <c r="J98" s="64"/>
      <c r="K98" s="73"/>
      <c r="L98" s="69"/>
      <c r="M98" s="69"/>
      <c r="N98" s="69"/>
      <c r="O98" s="69"/>
      <c r="P98" s="69"/>
      <c r="Q98" s="69"/>
    </row>
    <row r="99" spans="1:17" x14ac:dyDescent="0.25">
      <c r="A99" s="396"/>
      <c r="B99" s="383"/>
      <c r="C99" s="383"/>
      <c r="D99" s="254" t="s">
        <v>12</v>
      </c>
      <c r="E99" s="255">
        <v>1</v>
      </c>
      <c r="F99" s="268" t="s">
        <v>61</v>
      </c>
      <c r="H99" s="269">
        <v>1</v>
      </c>
      <c r="I99" s="126" t="s">
        <v>121</v>
      </c>
      <c r="J99" s="64">
        <v>1</v>
      </c>
      <c r="K99" s="73">
        <f>INDEX($E$98:$E$101,J99)</f>
        <v>0</v>
      </c>
      <c r="L99" s="69"/>
      <c r="M99" s="69"/>
      <c r="N99" s="69"/>
      <c r="O99" s="69"/>
      <c r="P99" s="69"/>
      <c r="Q99" s="69"/>
    </row>
    <row r="100" spans="1:17" x14ac:dyDescent="0.25">
      <c r="A100" s="396"/>
      <c r="B100" s="383"/>
      <c r="C100" s="383"/>
      <c r="D100" s="254" t="s">
        <v>51</v>
      </c>
      <c r="E100" s="255">
        <v>1.2</v>
      </c>
      <c r="F100" s="151" t="s">
        <v>62</v>
      </c>
      <c r="H100" s="270">
        <v>1</v>
      </c>
      <c r="I100" s="120" t="s">
        <v>121</v>
      </c>
      <c r="J100" s="64"/>
      <c r="K100" s="73"/>
      <c r="L100" s="69"/>
      <c r="M100" s="69"/>
      <c r="N100" s="69"/>
      <c r="O100" s="69"/>
      <c r="P100" s="69"/>
      <c r="Q100" s="69"/>
    </row>
    <row r="101" spans="1:17" x14ac:dyDescent="0.25">
      <c r="A101" s="396"/>
      <c r="B101" s="384"/>
      <c r="C101" s="384"/>
      <c r="D101" s="262" t="s">
        <v>52</v>
      </c>
      <c r="E101" s="271">
        <v>1.1000000000000001</v>
      </c>
      <c r="F101" s="149" t="s">
        <v>63</v>
      </c>
      <c r="H101" s="272">
        <v>1</v>
      </c>
      <c r="I101" s="127" t="s">
        <v>121</v>
      </c>
      <c r="J101" s="64"/>
      <c r="K101" s="73"/>
      <c r="L101" s="69"/>
      <c r="M101" s="69"/>
      <c r="N101" s="69"/>
      <c r="O101" s="69"/>
      <c r="P101" s="69"/>
      <c r="Q101" s="69"/>
    </row>
    <row r="102" spans="1:17" hidden="1" x14ac:dyDescent="0.25">
      <c r="A102" s="20" t="s">
        <v>156</v>
      </c>
      <c r="B102" s="273" t="s">
        <v>168</v>
      </c>
      <c r="C102" s="271" t="s">
        <v>76</v>
      </c>
      <c r="D102" s="262" t="s">
        <v>71</v>
      </c>
      <c r="E102" s="253" t="s">
        <v>73</v>
      </c>
      <c r="F102" s="160" t="s">
        <v>75</v>
      </c>
      <c r="G102" s="140"/>
      <c r="H102" s="166" t="s">
        <v>71</v>
      </c>
      <c r="I102" s="93" t="s">
        <v>121</v>
      </c>
      <c r="J102" s="64"/>
      <c r="K102" s="73"/>
      <c r="L102" s="69"/>
      <c r="M102" s="69"/>
      <c r="N102" s="69"/>
      <c r="O102" s="69"/>
      <c r="P102" s="69"/>
      <c r="Q102" s="69"/>
    </row>
    <row r="103" spans="1:17" hidden="1" x14ac:dyDescent="0.25">
      <c r="A103" s="20" t="s">
        <v>157</v>
      </c>
      <c r="B103" s="274" t="s">
        <v>175</v>
      </c>
      <c r="C103" s="275" t="s">
        <v>77</v>
      </c>
      <c r="D103" s="276" t="s">
        <v>71</v>
      </c>
      <c r="E103" s="326" t="s">
        <v>73</v>
      </c>
      <c r="F103" s="179" t="s">
        <v>75</v>
      </c>
      <c r="G103" s="140"/>
      <c r="H103" s="166" t="s">
        <v>71</v>
      </c>
      <c r="I103" s="93" t="s">
        <v>121</v>
      </c>
      <c r="J103" s="64"/>
      <c r="K103" s="73"/>
      <c r="L103" s="69"/>
      <c r="M103" s="69"/>
      <c r="N103" s="69"/>
      <c r="O103" s="69"/>
      <c r="P103" s="69"/>
      <c r="Q103" s="69"/>
    </row>
    <row r="104" spans="1:17" ht="26.25" hidden="1" x14ac:dyDescent="0.25">
      <c r="A104" s="20" t="s">
        <v>158</v>
      </c>
      <c r="B104" s="277" t="s">
        <v>176</v>
      </c>
      <c r="C104" s="275" t="s">
        <v>78</v>
      </c>
      <c r="D104" s="276" t="s">
        <v>71</v>
      </c>
      <c r="E104" s="326" t="s">
        <v>73</v>
      </c>
      <c r="F104" s="179" t="s">
        <v>75</v>
      </c>
      <c r="G104" s="140"/>
      <c r="H104" s="166" t="s">
        <v>71</v>
      </c>
      <c r="I104" s="93" t="s">
        <v>121</v>
      </c>
      <c r="J104" s="64"/>
      <c r="K104" s="73"/>
      <c r="L104" s="69"/>
      <c r="M104" s="69"/>
      <c r="N104" s="69"/>
      <c r="O104" s="69"/>
      <c r="P104" s="69"/>
      <c r="Q104" s="69"/>
    </row>
    <row r="105" spans="1:17" hidden="1" x14ac:dyDescent="0.25">
      <c r="A105" s="20" t="s">
        <v>159</v>
      </c>
      <c r="B105" s="274" t="s">
        <v>171</v>
      </c>
      <c r="C105" s="275" t="s">
        <v>79</v>
      </c>
      <c r="D105" s="276" t="s">
        <v>71</v>
      </c>
      <c r="E105" s="326" t="s">
        <v>73</v>
      </c>
      <c r="F105" s="179" t="s">
        <v>75</v>
      </c>
      <c r="G105" s="140"/>
      <c r="H105" s="166" t="s">
        <v>71</v>
      </c>
      <c r="I105" s="93" t="s">
        <v>121</v>
      </c>
      <c r="J105" s="64"/>
      <c r="K105" s="73"/>
      <c r="L105" s="69"/>
      <c r="M105" s="69"/>
      <c r="N105" s="69"/>
      <c r="O105" s="69"/>
      <c r="P105" s="69"/>
      <c r="Q105" s="69"/>
    </row>
    <row r="106" spans="1:17" hidden="1" x14ac:dyDescent="0.25">
      <c r="A106" s="20" t="s">
        <v>160</v>
      </c>
      <c r="B106" s="277" t="s">
        <v>172</v>
      </c>
      <c r="C106" s="275" t="s">
        <v>80</v>
      </c>
      <c r="D106" s="276" t="s">
        <v>71</v>
      </c>
      <c r="E106" s="326" t="s">
        <v>73</v>
      </c>
      <c r="F106" s="179" t="s">
        <v>75</v>
      </c>
      <c r="G106" s="140"/>
      <c r="H106" s="166" t="s">
        <v>71</v>
      </c>
      <c r="I106" s="93" t="s">
        <v>121</v>
      </c>
      <c r="J106" s="64"/>
      <c r="K106" s="73"/>
      <c r="L106" s="69"/>
      <c r="M106" s="69"/>
      <c r="N106" s="69"/>
      <c r="O106" s="69"/>
      <c r="P106" s="69"/>
      <c r="Q106" s="69"/>
    </row>
    <row r="107" spans="1:17" x14ac:dyDescent="0.25">
      <c r="A107" s="396" t="s">
        <v>199</v>
      </c>
      <c r="B107" s="278" t="s">
        <v>200</v>
      </c>
      <c r="C107" s="382" t="s">
        <v>194</v>
      </c>
      <c r="D107" s="278" t="s">
        <v>202</v>
      </c>
      <c r="E107" s="327">
        <v>7.0000000000000007E-2</v>
      </c>
      <c r="F107" s="6"/>
      <c r="G107" s="140"/>
      <c r="H107" s="279"/>
      <c r="I107" s="128"/>
      <c r="J107" s="64"/>
      <c r="K107" s="73">
        <f>IF(J109=2,1,0)</f>
        <v>1</v>
      </c>
      <c r="L107" s="69"/>
      <c r="M107" s="69"/>
      <c r="N107" s="69"/>
      <c r="O107" s="69"/>
      <c r="P107" s="69"/>
      <c r="Q107" s="69"/>
    </row>
    <row r="108" spans="1:17" ht="15" customHeight="1" x14ac:dyDescent="0.25">
      <c r="A108" s="396"/>
      <c r="B108" s="262" t="s">
        <v>201</v>
      </c>
      <c r="C108" s="384"/>
      <c r="D108" s="262" t="s">
        <v>203</v>
      </c>
      <c r="E108" s="253">
        <v>1</v>
      </c>
      <c r="F108" s="6"/>
      <c r="G108" s="140"/>
      <c r="H108" s="279"/>
      <c r="I108" s="128"/>
      <c r="J108" s="64"/>
      <c r="K108" s="99">
        <f>K88*K99*K93*K107</f>
        <v>0</v>
      </c>
      <c r="L108" s="69" t="s">
        <v>214</v>
      </c>
      <c r="M108" s="69"/>
      <c r="N108" s="69"/>
      <c r="O108" s="69"/>
      <c r="P108" s="69"/>
      <c r="Q108" s="69"/>
    </row>
    <row r="109" spans="1:17" ht="15" customHeight="1" x14ac:dyDescent="0.25">
      <c r="A109" s="6"/>
      <c r="B109" s="420" t="s">
        <v>276</v>
      </c>
      <c r="C109" s="255"/>
      <c r="D109" s="254" t="s">
        <v>277</v>
      </c>
      <c r="E109" s="250">
        <v>0</v>
      </c>
      <c r="F109" s="6"/>
      <c r="G109" s="140"/>
      <c r="H109" s="279"/>
      <c r="I109" s="128"/>
      <c r="J109" s="64">
        <v>2</v>
      </c>
      <c r="K109" s="117">
        <f>K108*E107</f>
        <v>0</v>
      </c>
      <c r="L109" s="69" t="s">
        <v>209</v>
      </c>
      <c r="M109" s="69"/>
      <c r="N109" s="69"/>
      <c r="O109" s="69"/>
      <c r="P109" s="69"/>
      <c r="Q109" s="69"/>
    </row>
    <row r="110" spans="1:17" x14ac:dyDescent="0.25">
      <c r="A110" s="6"/>
      <c r="B110" s="421"/>
      <c r="C110" s="255"/>
      <c r="D110" s="254" t="s">
        <v>278</v>
      </c>
      <c r="E110" s="243">
        <v>1</v>
      </c>
      <c r="F110" s="6"/>
      <c r="G110" s="140"/>
      <c r="H110" s="279"/>
      <c r="I110" s="128"/>
      <c r="J110" s="64"/>
      <c r="K110" s="129">
        <f>simulador!C22</f>
        <v>0</v>
      </c>
      <c r="L110" s="102" t="s">
        <v>231</v>
      </c>
      <c r="M110" s="69"/>
      <c r="N110" s="69"/>
      <c r="O110" s="69"/>
      <c r="P110" s="69"/>
      <c r="Q110" s="69"/>
    </row>
    <row r="111" spans="1:17" ht="15" customHeight="1" x14ac:dyDescent="0.25">
      <c r="A111" s="6"/>
      <c r="B111" s="187"/>
      <c r="C111" s="6"/>
      <c r="D111" s="187"/>
      <c r="F111" s="6"/>
      <c r="G111" s="140"/>
      <c r="H111" s="279"/>
      <c r="I111" s="128"/>
      <c r="J111" s="64"/>
      <c r="K111" s="129">
        <f>simulador!C22*simulador!C23/1000</f>
        <v>0</v>
      </c>
      <c r="L111" s="102" t="s">
        <v>240</v>
      </c>
      <c r="M111" s="73" t="s">
        <v>296</v>
      </c>
      <c r="N111" s="297">
        <f>K108*M8</f>
        <v>0</v>
      </c>
      <c r="O111" s="297">
        <f>K108*M12</f>
        <v>0</v>
      </c>
      <c r="P111" s="297">
        <f>K108*M16</f>
        <v>0</v>
      </c>
      <c r="Q111" s="297">
        <f>K108*M20</f>
        <v>0</v>
      </c>
    </row>
    <row r="112" spans="1:17" x14ac:dyDescent="0.25">
      <c r="B112" s="416" t="s">
        <v>149</v>
      </c>
      <c r="C112" s="417"/>
      <c r="D112" s="417"/>
      <c r="E112" s="418"/>
      <c r="H112" s="137" t="s">
        <v>64</v>
      </c>
      <c r="I112" s="130">
        <f>31.97*0.002156</f>
        <v>6.892732E-2</v>
      </c>
      <c r="J112" s="64"/>
      <c r="K112" s="131">
        <f>E107*K88*K93*K99*K107*K111</f>
        <v>0</v>
      </c>
      <c r="L112" s="69" t="s">
        <v>215</v>
      </c>
      <c r="M112" s="306" t="s">
        <v>295</v>
      </c>
      <c r="N112" s="306" t="s">
        <v>292</v>
      </c>
      <c r="O112" s="306" t="s">
        <v>316</v>
      </c>
      <c r="P112" s="306" t="s">
        <v>317</v>
      </c>
      <c r="Q112" s="69" t="s">
        <v>315</v>
      </c>
    </row>
    <row r="113" spans="2:17" x14ac:dyDescent="0.25">
      <c r="B113" s="280" t="s">
        <v>229</v>
      </c>
      <c r="C113" s="281"/>
      <c r="D113" s="282"/>
      <c r="E113" s="283"/>
      <c r="H113" s="137"/>
      <c r="I113" s="130"/>
      <c r="J113" s="64"/>
      <c r="K113" s="132">
        <f>K109*K111</f>
        <v>0</v>
      </c>
      <c r="L113" s="69"/>
      <c r="M113" s="69">
        <f>K109*K111</f>
        <v>0</v>
      </c>
      <c r="N113" s="297">
        <f>N111*K111</f>
        <v>0</v>
      </c>
      <c r="O113" s="297">
        <f>O111*K111</f>
        <v>0</v>
      </c>
      <c r="P113" s="297">
        <f>P111*K111</f>
        <v>0</v>
      </c>
      <c r="Q113" s="297">
        <f>Q111*K111</f>
        <v>0</v>
      </c>
    </row>
    <row r="114" spans="2:17" x14ac:dyDescent="0.25">
      <c r="B114" s="284" t="s">
        <v>112</v>
      </c>
      <c r="C114" s="281"/>
      <c r="D114" s="282"/>
      <c r="E114" s="283"/>
      <c r="F114" s="285"/>
      <c r="G114" s="286"/>
      <c r="H114" s="287"/>
      <c r="I114" s="133"/>
      <c r="J114" s="64"/>
      <c r="K114" s="73"/>
      <c r="L114" s="69"/>
      <c r="M114" s="69"/>
      <c r="N114" s="297"/>
      <c r="O114" s="297"/>
      <c r="P114" s="69"/>
      <c r="Q114" s="69"/>
    </row>
    <row r="115" spans="2:17" x14ac:dyDescent="0.25">
      <c r="B115" s="284" t="s">
        <v>113</v>
      </c>
      <c r="C115" s="281"/>
      <c r="D115" s="282"/>
      <c r="E115" s="283"/>
      <c r="H115" s="137"/>
      <c r="I115" s="130"/>
      <c r="J115" s="64"/>
      <c r="K115" s="73"/>
      <c r="L115" s="69"/>
      <c r="M115" s="69"/>
      <c r="N115" s="69"/>
      <c r="O115" s="69"/>
      <c r="P115" s="69"/>
      <c r="Q115" s="69"/>
    </row>
    <row r="116" spans="2:17" x14ac:dyDescent="0.25">
      <c r="B116" s="284" t="s">
        <v>115</v>
      </c>
      <c r="C116" s="281"/>
      <c r="D116" s="282"/>
      <c r="E116" s="283"/>
      <c r="H116" s="137"/>
      <c r="I116" s="130"/>
      <c r="J116" s="64"/>
      <c r="K116" s="73"/>
      <c r="L116" s="69"/>
      <c r="M116" s="69"/>
      <c r="N116" s="69"/>
      <c r="O116" s="69"/>
      <c r="P116" s="69"/>
      <c r="Q116" s="69"/>
    </row>
    <row r="117" spans="2:17" x14ac:dyDescent="0.25">
      <c r="B117" s="288" t="s">
        <v>114</v>
      </c>
      <c r="C117" s="281"/>
      <c r="D117" s="282"/>
      <c r="E117" s="283"/>
      <c r="H117" s="137"/>
      <c r="I117" s="130"/>
      <c r="J117" s="64"/>
      <c r="K117" s="73"/>
      <c r="L117" s="69"/>
      <c r="M117" s="69"/>
      <c r="N117" s="69"/>
      <c r="O117" s="69"/>
      <c r="P117" s="69"/>
      <c r="Q117" s="69"/>
    </row>
    <row r="118" spans="2:17" x14ac:dyDescent="0.25">
      <c r="B118" s="280" t="s">
        <v>118</v>
      </c>
      <c r="C118" s="281"/>
      <c r="D118" s="282"/>
      <c r="E118" s="283"/>
      <c r="H118" s="137"/>
      <c r="I118" s="130"/>
      <c r="J118" s="64"/>
      <c r="K118" s="73"/>
      <c r="L118" s="69"/>
      <c r="M118" s="69"/>
      <c r="N118" s="69"/>
      <c r="O118" s="69"/>
      <c r="P118" s="69"/>
      <c r="Q118" s="69"/>
    </row>
    <row r="119" spans="2:17" x14ac:dyDescent="0.25">
      <c r="B119" s="284" t="s">
        <v>116</v>
      </c>
      <c r="C119" s="281"/>
      <c r="D119" s="282"/>
      <c r="E119" s="283"/>
      <c r="F119" s="289" t="s">
        <v>135</v>
      </c>
      <c r="H119" s="137"/>
      <c r="I119" s="130"/>
      <c r="J119" s="64"/>
      <c r="K119" s="73"/>
      <c r="L119" s="69"/>
      <c r="M119" s="69"/>
      <c r="N119" s="69"/>
      <c r="O119" s="69"/>
      <c r="P119" s="69"/>
      <c r="Q119" s="69"/>
    </row>
    <row r="120" spans="2:17" x14ac:dyDescent="0.25">
      <c r="B120" s="284" t="s">
        <v>111</v>
      </c>
      <c r="C120" s="281"/>
      <c r="D120" s="282"/>
      <c r="E120" s="283"/>
      <c r="H120" s="137"/>
      <c r="I120" s="130"/>
      <c r="J120" s="64"/>
      <c r="K120" s="73"/>
      <c r="L120" s="69"/>
      <c r="M120" s="69"/>
      <c r="N120" s="69"/>
      <c r="O120" s="69"/>
      <c r="P120" s="69"/>
      <c r="Q120" s="69"/>
    </row>
    <row r="121" spans="2:17" x14ac:dyDescent="0.25">
      <c r="B121" s="284" t="s">
        <v>117</v>
      </c>
      <c r="C121" s="281"/>
      <c r="D121" s="282"/>
      <c r="E121" s="283"/>
      <c r="H121" s="137"/>
      <c r="I121" s="130"/>
      <c r="J121" s="64"/>
      <c r="K121" s="73"/>
      <c r="L121" s="69"/>
      <c r="M121" s="69"/>
      <c r="N121" s="69"/>
      <c r="O121" s="69"/>
      <c r="P121" s="69"/>
      <c r="Q121" s="69"/>
    </row>
    <row r="122" spans="2:17" x14ac:dyDescent="0.25">
      <c r="B122" s="288" t="s">
        <v>120</v>
      </c>
      <c r="C122" s="281"/>
      <c r="D122" s="282"/>
      <c r="E122" s="283"/>
      <c r="H122" s="137"/>
      <c r="I122" s="130"/>
      <c r="J122" s="64"/>
      <c r="K122" s="73"/>
      <c r="L122" s="69"/>
      <c r="M122" s="69"/>
      <c r="N122" s="69"/>
      <c r="O122" s="69"/>
      <c r="P122" s="69"/>
      <c r="Q122" s="69"/>
    </row>
    <row r="123" spans="2:17" x14ac:dyDescent="0.25">
      <c r="B123" s="288" t="s">
        <v>119</v>
      </c>
      <c r="C123" s="281"/>
      <c r="D123" s="282"/>
      <c r="E123" s="283"/>
      <c r="I123" s="69"/>
      <c r="J123" s="64"/>
      <c r="K123" s="73"/>
      <c r="L123" s="69"/>
      <c r="M123" s="69"/>
      <c r="N123" s="69"/>
      <c r="O123" s="69"/>
      <c r="P123" s="69"/>
      <c r="Q123" s="69"/>
    </row>
    <row r="124" spans="2:17" x14ac:dyDescent="0.25">
      <c r="I124" s="69"/>
      <c r="J124" s="64"/>
      <c r="K124" s="73"/>
      <c r="L124" s="69"/>
      <c r="M124" s="69"/>
      <c r="N124" s="69"/>
      <c r="O124" s="69"/>
      <c r="P124" s="69"/>
      <c r="Q124" s="69"/>
    </row>
    <row r="125" spans="2:17" x14ac:dyDescent="0.25">
      <c r="B125" s="286"/>
      <c r="E125" s="189"/>
      <c r="I125" s="69"/>
      <c r="J125" s="64"/>
      <c r="K125" s="73"/>
      <c r="L125" s="69"/>
      <c r="M125" s="69"/>
      <c r="N125" s="69"/>
      <c r="O125" s="69"/>
      <c r="P125" s="69"/>
      <c r="Q125" s="69"/>
    </row>
    <row r="126" spans="2:17" x14ac:dyDescent="0.25">
      <c r="B126" s="419" t="s">
        <v>193</v>
      </c>
      <c r="C126" s="419"/>
      <c r="D126" s="419"/>
      <c r="E126" s="419"/>
      <c r="I126" s="69"/>
      <c r="J126" s="64"/>
      <c r="K126" s="73"/>
      <c r="L126" s="69"/>
      <c r="M126" s="69"/>
      <c r="N126" s="69"/>
      <c r="O126" s="69"/>
      <c r="P126" s="69"/>
      <c r="Q126" s="69"/>
    </row>
    <row r="127" spans="2:17" x14ac:dyDescent="0.25">
      <c r="B127" s="286" t="s">
        <v>150</v>
      </c>
      <c r="E127" s="189"/>
      <c r="I127" s="69"/>
      <c r="J127" s="64"/>
      <c r="K127" s="73"/>
      <c r="L127" s="69"/>
      <c r="M127" s="69"/>
      <c r="N127" s="69"/>
      <c r="O127" s="69"/>
      <c r="P127" s="69"/>
      <c r="Q127" s="69"/>
    </row>
    <row r="128" spans="2:17" x14ac:dyDescent="0.25">
      <c r="B128" s="290"/>
      <c r="E128" s="189"/>
      <c r="I128" s="69"/>
      <c r="J128" s="64"/>
      <c r="K128" s="73"/>
      <c r="L128" s="69"/>
      <c r="M128" s="69"/>
      <c r="N128" s="69"/>
      <c r="O128" s="69"/>
      <c r="P128" s="69"/>
      <c r="Q128" s="69"/>
    </row>
    <row r="129" spans="2:17" x14ac:dyDescent="0.25">
      <c r="B129" s="291" t="s">
        <v>89</v>
      </c>
      <c r="C129" s="290" t="s">
        <v>271</v>
      </c>
      <c r="E129" s="189"/>
      <c r="I129" s="69"/>
      <c r="J129" s="64"/>
      <c r="K129" s="73"/>
      <c r="L129" s="69"/>
      <c r="M129" s="69"/>
      <c r="N129" s="69"/>
      <c r="O129" s="69"/>
      <c r="P129" s="69"/>
      <c r="Q129" s="69"/>
    </row>
    <row r="130" spans="2:17" x14ac:dyDescent="0.25">
      <c r="B130" s="291" t="s">
        <v>91</v>
      </c>
      <c r="C130" s="290" t="s">
        <v>272</v>
      </c>
      <c r="E130" s="189"/>
      <c r="I130" s="69"/>
      <c r="J130" s="64"/>
      <c r="K130" s="73"/>
      <c r="L130" s="69"/>
      <c r="M130" s="69"/>
      <c r="N130" s="69"/>
      <c r="O130" s="69"/>
      <c r="P130" s="69"/>
      <c r="Q130" s="69"/>
    </row>
    <row r="131" spans="2:17" x14ac:dyDescent="0.25">
      <c r="C131" s="3"/>
      <c r="I131" s="69"/>
      <c r="J131" s="64"/>
      <c r="K131" s="73"/>
      <c r="L131" s="69"/>
      <c r="M131" s="69"/>
      <c r="N131" s="69"/>
      <c r="O131" s="69"/>
      <c r="P131" s="69"/>
      <c r="Q131" s="69"/>
    </row>
    <row r="132" spans="2:17" x14ac:dyDescent="0.25">
      <c r="B132" s="292" t="s">
        <v>90</v>
      </c>
      <c r="C132" s="291" t="s">
        <v>268</v>
      </c>
      <c r="I132" s="69"/>
      <c r="J132" s="64"/>
      <c r="K132" s="73"/>
      <c r="L132" s="69"/>
      <c r="M132" s="69"/>
      <c r="N132" s="69"/>
      <c r="O132" s="69"/>
      <c r="P132" s="69"/>
      <c r="Q132" s="69"/>
    </row>
    <row r="133" spans="2:17" x14ac:dyDescent="0.25">
      <c r="B133" s="293"/>
      <c r="C133" s="291" t="s">
        <v>269</v>
      </c>
      <c r="I133" s="69"/>
      <c r="J133" s="64"/>
      <c r="K133" s="73"/>
      <c r="L133" s="69"/>
      <c r="M133" s="69"/>
      <c r="N133" s="69"/>
      <c r="O133" s="69"/>
      <c r="P133" s="69"/>
      <c r="Q133" s="69"/>
    </row>
    <row r="134" spans="2:17" x14ac:dyDescent="0.25">
      <c r="C134" s="291" t="s">
        <v>270</v>
      </c>
      <c r="I134" s="69"/>
      <c r="J134" s="64"/>
      <c r="K134" s="73"/>
      <c r="L134" s="69"/>
      <c r="M134" s="69"/>
      <c r="N134" s="69"/>
      <c r="O134" s="69"/>
      <c r="P134" s="69"/>
      <c r="Q134" s="69"/>
    </row>
    <row r="135" spans="2:17" x14ac:dyDescent="0.25">
      <c r="I135" s="69"/>
      <c r="J135" s="64"/>
      <c r="K135" s="422"/>
      <c r="L135" s="422"/>
      <c r="M135" s="422"/>
      <c r="N135" s="422"/>
      <c r="O135" s="422"/>
      <c r="P135" s="422"/>
      <c r="Q135" s="422"/>
    </row>
    <row r="136" spans="2:17" x14ac:dyDescent="0.25">
      <c r="B136" s="286" t="s">
        <v>92</v>
      </c>
      <c r="I136" s="69"/>
      <c r="J136" s="64"/>
      <c r="K136" s="423"/>
      <c r="L136" s="423"/>
      <c r="M136" s="423"/>
      <c r="N136" s="424"/>
      <c r="O136" s="424"/>
      <c r="P136" s="424"/>
      <c r="Q136" s="424"/>
    </row>
    <row r="137" spans="2:17" x14ac:dyDescent="0.25">
      <c r="B137" s="286" t="s">
        <v>93</v>
      </c>
      <c r="I137" s="69"/>
      <c r="J137" s="64"/>
      <c r="K137" s="73"/>
      <c r="L137" s="69"/>
      <c r="M137" s="69"/>
      <c r="N137" s="69"/>
      <c r="O137" s="69"/>
      <c r="P137" s="69"/>
      <c r="Q137" s="69"/>
    </row>
    <row r="138" spans="2:17" x14ac:dyDescent="0.25">
      <c r="I138" s="69"/>
      <c r="J138" s="64"/>
      <c r="K138" s="73"/>
      <c r="L138" s="69"/>
      <c r="M138" s="69"/>
      <c r="N138" s="69"/>
      <c r="O138" s="69"/>
      <c r="P138" s="69"/>
      <c r="Q138" s="69"/>
    </row>
    <row r="139" spans="2:17" x14ac:dyDescent="0.25">
      <c r="B139" s="294" t="s">
        <v>96</v>
      </c>
      <c r="I139" s="69"/>
      <c r="J139" s="64"/>
      <c r="K139" s="73"/>
      <c r="L139" s="69"/>
      <c r="M139" s="69"/>
      <c r="N139" s="69"/>
      <c r="O139" s="69"/>
      <c r="P139" s="69"/>
      <c r="Q139" s="69"/>
    </row>
    <row r="140" spans="2:17" x14ac:dyDescent="0.25">
      <c r="B140" t="s">
        <v>98</v>
      </c>
      <c r="I140" s="69"/>
      <c r="J140" s="64"/>
      <c r="K140" s="73"/>
      <c r="L140" s="69"/>
      <c r="M140" s="69"/>
      <c r="N140" s="69"/>
      <c r="O140" s="69"/>
      <c r="P140" s="69"/>
      <c r="Q140" s="69"/>
    </row>
    <row r="141" spans="2:17" x14ac:dyDescent="0.25">
      <c r="B141" s="140" t="s">
        <v>94</v>
      </c>
      <c r="I141" s="69"/>
      <c r="J141" s="64"/>
      <c r="K141" s="73"/>
      <c r="L141" s="69"/>
      <c r="M141" s="69"/>
      <c r="N141" s="69"/>
      <c r="O141" s="69"/>
      <c r="P141" s="69"/>
      <c r="Q141" s="69"/>
    </row>
    <row r="142" spans="2:17" x14ac:dyDescent="0.25">
      <c r="B142" s="140" t="s">
        <v>95</v>
      </c>
      <c r="I142" s="69"/>
      <c r="J142" s="64"/>
      <c r="K142" s="73"/>
      <c r="L142" s="69"/>
      <c r="M142" s="69"/>
      <c r="N142" s="69"/>
      <c r="O142" s="69"/>
      <c r="P142" s="69"/>
      <c r="Q142" s="69"/>
    </row>
    <row r="143" spans="2:17" x14ac:dyDescent="0.25">
      <c r="B143" s="140" t="s">
        <v>97</v>
      </c>
      <c r="I143" s="69"/>
      <c r="J143" s="64"/>
      <c r="K143" s="73"/>
      <c r="L143" s="69"/>
      <c r="M143" s="69"/>
      <c r="N143" s="69"/>
      <c r="O143" s="69"/>
      <c r="P143" s="69"/>
      <c r="Q143" s="69"/>
    </row>
    <row r="144" spans="2:17" x14ac:dyDescent="0.25">
      <c r="B144" s="140" t="s">
        <v>100</v>
      </c>
      <c r="I144" s="69"/>
      <c r="J144" s="64"/>
      <c r="K144" s="73"/>
      <c r="L144" s="69"/>
      <c r="M144" s="69"/>
      <c r="N144" s="69"/>
      <c r="O144" s="69"/>
      <c r="P144" s="69"/>
      <c r="Q144" s="69"/>
    </row>
    <row r="145" spans="2:17" x14ac:dyDescent="0.25">
      <c r="B145" s="140" t="s">
        <v>99</v>
      </c>
      <c r="I145" s="69"/>
      <c r="J145" s="64"/>
      <c r="K145" s="73"/>
      <c r="L145" s="69"/>
      <c r="M145" s="69"/>
      <c r="N145" s="69"/>
      <c r="O145" s="69"/>
      <c r="P145" s="69"/>
      <c r="Q145" s="69"/>
    </row>
    <row r="146" spans="2:17" x14ac:dyDescent="0.25">
      <c r="B146" s="140" t="s">
        <v>109</v>
      </c>
      <c r="I146" s="69"/>
      <c r="J146" s="64"/>
      <c r="K146" s="73"/>
      <c r="L146" s="69"/>
      <c r="M146" s="69"/>
      <c r="N146" s="69"/>
      <c r="O146" s="69"/>
      <c r="P146" s="69"/>
      <c r="Q146" s="69"/>
    </row>
    <row r="147" spans="2:17" x14ac:dyDescent="0.25">
      <c r="B147" s="140" t="s">
        <v>108</v>
      </c>
      <c r="I147" s="69"/>
      <c r="J147" s="64"/>
      <c r="K147" s="73"/>
      <c r="L147" s="69"/>
      <c r="M147" s="69"/>
      <c r="N147" s="69"/>
      <c r="O147" s="69"/>
      <c r="P147" s="69"/>
      <c r="Q147" s="69"/>
    </row>
    <row r="148" spans="2:17" x14ac:dyDescent="0.25">
      <c r="B148" s="140"/>
      <c r="I148" s="69"/>
      <c r="J148" s="64"/>
      <c r="K148" s="73"/>
      <c r="L148" s="69"/>
      <c r="M148" s="69"/>
      <c r="N148" s="69"/>
      <c r="O148" s="69"/>
      <c r="P148" s="69"/>
      <c r="Q148" s="69"/>
    </row>
    <row r="149" spans="2:17" x14ac:dyDescent="0.25">
      <c r="B149" s="294" t="s">
        <v>104</v>
      </c>
      <c r="I149" s="69"/>
      <c r="J149" s="64"/>
      <c r="K149" s="73"/>
      <c r="L149" s="69"/>
      <c r="M149" s="69"/>
      <c r="N149" s="69"/>
      <c r="O149" s="69"/>
      <c r="P149" s="69"/>
      <c r="Q149" s="69"/>
    </row>
    <row r="150" spans="2:17" x14ac:dyDescent="0.25">
      <c r="B150" t="s">
        <v>105</v>
      </c>
      <c r="C150" t="s">
        <v>106</v>
      </c>
      <c r="I150" s="69"/>
      <c r="J150" s="64"/>
      <c r="K150" s="73"/>
      <c r="L150" s="69"/>
      <c r="M150" s="69"/>
      <c r="N150" s="69"/>
      <c r="O150" s="69"/>
      <c r="P150" s="69"/>
      <c r="Q150" s="69"/>
    </row>
    <row r="151" spans="2:17" x14ac:dyDescent="0.25">
      <c r="B151" t="s">
        <v>101</v>
      </c>
      <c r="I151" s="69"/>
      <c r="J151" s="64"/>
      <c r="K151" s="73"/>
      <c r="L151" s="69"/>
      <c r="M151" s="69"/>
      <c r="N151" s="69"/>
      <c r="O151" s="69"/>
      <c r="P151" s="69"/>
      <c r="Q151" s="69"/>
    </row>
    <row r="152" spans="2:17" x14ac:dyDescent="0.25">
      <c r="B152" t="s">
        <v>102</v>
      </c>
      <c r="I152" s="69"/>
      <c r="J152" s="64"/>
      <c r="K152" s="73"/>
      <c r="L152" s="69"/>
      <c r="M152" s="69"/>
      <c r="N152" s="69"/>
      <c r="O152" s="69"/>
      <c r="P152" s="69"/>
      <c r="Q152" s="69"/>
    </row>
    <row r="153" spans="2:17" ht="14.45" customHeight="1" x14ac:dyDescent="0.25">
      <c r="B153" s="415" t="s">
        <v>103</v>
      </c>
      <c r="C153" s="415"/>
      <c r="D153" s="415"/>
      <c r="E153" s="415"/>
      <c r="F153" s="415"/>
      <c r="G153" s="415"/>
      <c r="H153" s="415"/>
      <c r="I153" s="69"/>
      <c r="J153" s="64"/>
      <c r="K153" s="73"/>
      <c r="L153" s="69"/>
      <c r="M153" s="69"/>
      <c r="N153" s="69"/>
      <c r="O153" s="69"/>
      <c r="P153" s="69"/>
      <c r="Q153" s="69"/>
    </row>
    <row r="154" spans="2:17" x14ac:dyDescent="0.25">
      <c r="B154" t="s">
        <v>110</v>
      </c>
      <c r="I154" s="69"/>
      <c r="J154" s="64"/>
      <c r="K154" s="73"/>
      <c r="L154" s="69"/>
      <c r="M154" s="69"/>
      <c r="N154" s="69"/>
      <c r="O154" s="69"/>
      <c r="P154" s="69"/>
      <c r="Q154" s="69"/>
    </row>
    <row r="155" spans="2:17" x14ac:dyDescent="0.25">
      <c r="B155" s="294" t="s">
        <v>107</v>
      </c>
      <c r="I155" s="69"/>
      <c r="J155" s="64"/>
      <c r="K155" s="73"/>
      <c r="L155" s="69"/>
      <c r="M155" s="69"/>
      <c r="N155" s="69"/>
      <c r="O155" s="69"/>
      <c r="P155" s="69"/>
      <c r="Q155" s="69"/>
    </row>
    <row r="156" spans="2:17" x14ac:dyDescent="0.25">
      <c r="B156" s="69"/>
      <c r="C156" s="73"/>
      <c r="D156" s="76"/>
      <c r="E156" s="73"/>
      <c r="F156" s="73"/>
      <c r="G156" s="69"/>
      <c r="H156" s="69"/>
      <c r="I156" s="69"/>
      <c r="J156" s="64"/>
      <c r="K156" s="73"/>
      <c r="L156" s="69"/>
      <c r="M156" s="69"/>
      <c r="N156" s="69"/>
      <c r="O156" s="69"/>
      <c r="P156" s="69"/>
      <c r="Q156" s="69"/>
    </row>
  </sheetData>
  <sheetProtection password="C676" sheet="1" objects="1" scenarios="1" selectLockedCells="1"/>
  <mergeCells count="67">
    <mergeCell ref="A98:A101"/>
    <mergeCell ref="B98:B101"/>
    <mergeCell ref="C98:C101"/>
    <mergeCell ref="A87:A90"/>
    <mergeCell ref="B87:B90"/>
    <mergeCell ref="A92:A97"/>
    <mergeCell ref="B92:B96"/>
    <mergeCell ref="C92:C97"/>
    <mergeCell ref="A107:A108"/>
    <mergeCell ref="C107:C108"/>
    <mergeCell ref="N135:Q135"/>
    <mergeCell ref="K135:M135"/>
    <mergeCell ref="K136:M136"/>
    <mergeCell ref="N136:Q136"/>
    <mergeCell ref="C27:C28"/>
    <mergeCell ref="B153:H153"/>
    <mergeCell ref="B112:E112"/>
    <mergeCell ref="B126:E126"/>
    <mergeCell ref="B109:B110"/>
    <mergeCell ref="A23:A25"/>
    <mergeCell ref="C23:C25"/>
    <mergeCell ref="A29:A32"/>
    <mergeCell ref="A40:A41"/>
    <mergeCell ref="A56:A61"/>
    <mergeCell ref="A38:A39"/>
    <mergeCell ref="C38:C39"/>
    <mergeCell ref="A48:A50"/>
    <mergeCell ref="A51:A55"/>
    <mergeCell ref="B48:B50"/>
    <mergeCell ref="B51:B55"/>
    <mergeCell ref="C48:C50"/>
    <mergeCell ref="C51:C55"/>
    <mergeCell ref="B29:B32"/>
    <mergeCell ref="B23:B24"/>
    <mergeCell ref="A27:A28"/>
    <mergeCell ref="A7:A9"/>
    <mergeCell ref="A10:A15"/>
    <mergeCell ref="C10:C15"/>
    <mergeCell ref="A16:A21"/>
    <mergeCell ref="C16:C21"/>
    <mergeCell ref="B7:B9"/>
    <mergeCell ref="B10:B15"/>
    <mergeCell ref="B16:B21"/>
    <mergeCell ref="C7:C9"/>
    <mergeCell ref="A78:A79"/>
    <mergeCell ref="A63:A65"/>
    <mergeCell ref="A67:A70"/>
    <mergeCell ref="A76:A77"/>
    <mergeCell ref="B67:B70"/>
    <mergeCell ref="B76:B77"/>
    <mergeCell ref="B63:B64"/>
    <mergeCell ref="B1:E1"/>
    <mergeCell ref="B2:E2"/>
    <mergeCell ref="B4:E4"/>
    <mergeCell ref="B45:E45"/>
    <mergeCell ref="E94:E96"/>
    <mergeCell ref="C67:C70"/>
    <mergeCell ref="C76:C77"/>
    <mergeCell ref="C87:C90"/>
    <mergeCell ref="B84:E84"/>
    <mergeCell ref="C29:C32"/>
    <mergeCell ref="B56:B61"/>
    <mergeCell ref="C56:C61"/>
    <mergeCell ref="C63:C65"/>
    <mergeCell ref="B3:E3"/>
    <mergeCell ref="B38:B39"/>
    <mergeCell ref="B27:B28"/>
  </mergeCells>
  <phoneticPr fontId="6" type="noConversion"/>
  <pageMargins left="0.51181102362204722" right="0.39370078740157483" top="0.55118110236220474" bottom="0.55118110236220474" header="0.31496062992125984" footer="0.31496062992125984"/>
  <pageSetup paperSize="9" scale="69" fitToHeight="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3"/>
  <dimension ref="A1"/>
  <sheetViews>
    <sheetView workbookViewId="0"/>
  </sheetViews>
  <sheetFormatPr defaultRowHeight="15" x14ac:dyDescent="0.25"/>
  <sheetData/>
  <sheetProtection sheet="1" objects="1" scenarios="1"/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4"/>
  <dimension ref="A1"/>
  <sheetViews>
    <sheetView topLeftCell="A16" workbookViewId="0"/>
  </sheetViews>
  <sheetFormatPr defaultRowHeight="15" x14ac:dyDescent="0.25"/>
  <sheetData/>
  <sheetProtection sheet="1" objects="1" scenarios="1"/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1</vt:i4>
      </vt:variant>
    </vt:vector>
  </HeadingPairs>
  <TitlesOfParts>
    <vt:vector size="5" baseType="lpstr">
      <vt:lpstr>simulador</vt:lpstr>
      <vt:lpstr>referencias</vt:lpstr>
      <vt:lpstr>enquadramento dos rios</vt:lpstr>
      <vt:lpstr>disponibilidade superficial</vt:lpstr>
      <vt:lpstr>simulador!Area_de_impressao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Flaviano</dc:creator>
  <cp:lastModifiedBy>Eduardo Souza</cp:lastModifiedBy>
  <cp:lastPrinted>2022-02-23T01:43:08Z</cp:lastPrinted>
  <dcterms:created xsi:type="dcterms:W3CDTF">2022-02-09T15:08:54Z</dcterms:created>
  <dcterms:modified xsi:type="dcterms:W3CDTF">2025-01-16T12:11:33Z</dcterms:modified>
</cp:coreProperties>
</file>